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8_{3D8BF315-B39C-864A-A016-B28A6DAB5859}" xr6:coauthVersionLast="47" xr6:coauthVersionMax="47" xr10:uidLastSave="{00000000-0000-0000-0000-000000000000}"/>
  <workbookProtection workbookAlgorithmName="SHA-512" workbookHashValue="ipd90C/I/A5vaq9Vpwod9GE4NVr95Azsp4Yf1Yr6ek+UcAhivSmiaj0c0HxDeECpH2ddVLAESlK2FVM6ZIWTUA==" workbookSaltValue="Frz5j7EwDiSg2sVLyyOkrg==" workbookSpinCount="100000" lockStructure="1"/>
  <bookViews>
    <workbookView xWindow="15500" yWindow="1220" windowWidth="24940" windowHeight="19240" tabRatio="500" xr2:uid="{00000000-000D-0000-FFFF-FFFF00000000}"/>
  </bookViews>
  <sheets>
    <sheet name="Price" sheetId="16" r:id="rId1"/>
    <sheet name="Расчет Тарифа" sheetId="19" r:id="rId2"/>
    <sheet name="OMNI" sheetId="20" r:id="rId3"/>
  </sheets>
  <definedNames>
    <definedName name="_xlnm.Print_Area" localSheetId="0">Price!$A$1:$F$55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6" i="16" l="1"/>
  <c r="O36" i="16" s="1"/>
  <c r="L36" i="16"/>
  <c r="M36" i="16" s="1"/>
  <c r="N35" i="16"/>
  <c r="O35" i="16" s="1"/>
  <c r="L35" i="16"/>
  <c r="M35" i="16" s="1"/>
  <c r="G9" i="19"/>
  <c r="G20" i="19"/>
  <c r="G19" i="19"/>
  <c r="G18" i="19"/>
  <c r="G17" i="19"/>
  <c r="G16" i="19"/>
  <c r="G15" i="19"/>
  <c r="G8" i="19"/>
  <c r="G7" i="19"/>
  <c r="G6" i="19"/>
  <c r="G5" i="19"/>
  <c r="G4" i="19"/>
  <c r="G15" i="20"/>
  <c r="G20" i="20"/>
  <c r="G16" i="20"/>
  <c r="G19" i="20" l="1"/>
  <c r="G18" i="20"/>
  <c r="G17" i="20"/>
  <c r="D53" i="20" l="1"/>
  <c r="D41" i="20"/>
  <c r="D30" i="20"/>
  <c r="E22" i="20"/>
  <c r="D15" i="20" s="1"/>
  <c r="H19" i="20"/>
  <c r="H18" i="20"/>
  <c r="H17" i="20"/>
  <c r="H16" i="20"/>
  <c r="H15" i="20"/>
  <c r="E22" i="19"/>
  <c r="H20" i="19"/>
  <c r="H19" i="19"/>
  <c r="H18" i="19"/>
  <c r="H17" i="19"/>
  <c r="H16" i="19"/>
  <c r="H15" i="19"/>
  <c r="E11" i="19"/>
  <c r="D5" i="19" s="1"/>
  <c r="H9" i="19"/>
  <c r="H8" i="19"/>
  <c r="H7" i="19"/>
  <c r="H6" i="19"/>
  <c r="H5" i="19"/>
  <c r="D20" i="19" l="1"/>
  <c r="D17" i="19"/>
  <c r="D16" i="19"/>
  <c r="D18" i="19"/>
  <c r="D19" i="19"/>
  <c r="D15" i="19"/>
  <c r="D9" i="19"/>
  <c r="D7" i="19"/>
  <c r="D4" i="19"/>
  <c r="D6" i="19"/>
  <c r="D16" i="20"/>
  <c r="D20" i="20"/>
  <c r="H20" i="20" s="1"/>
  <c r="H21" i="20" s="1"/>
  <c r="G22" i="20" s="1"/>
  <c r="D17" i="20"/>
  <c r="E41" i="20"/>
  <c r="E29" i="20"/>
  <c r="H29" i="20" s="1"/>
  <c r="E40" i="20"/>
  <c r="H40" i="20" s="1"/>
  <c r="D19" i="20"/>
  <c r="E53" i="20"/>
  <c r="H21" i="19"/>
  <c r="G22" i="19" s="1"/>
  <c r="E30" i="20"/>
  <c r="E51" i="20"/>
  <c r="D18" i="20"/>
  <c r="E52" i="20"/>
  <c r="H52" i="20" s="1"/>
  <c r="D8" i="19"/>
  <c r="G53" i="20" l="1"/>
  <c r="H53" i="20" s="1"/>
  <c r="H51" i="20"/>
  <c r="G41" i="20"/>
  <c r="G30" i="20"/>
  <c r="G55" i="20" l="1"/>
  <c r="H54" i="20"/>
  <c r="C56" i="20" s="1"/>
  <c r="D56" i="20" s="1"/>
  <c r="H30" i="20"/>
  <c r="H31" i="20" s="1"/>
  <c r="C33" i="20" s="1"/>
  <c r="D33" i="20" s="1"/>
  <c r="G32" i="20"/>
  <c r="H41" i="20"/>
  <c r="H42" i="20" s="1"/>
  <c r="C44" i="20" s="1"/>
  <c r="D44" i="20" s="1"/>
  <c r="G43" i="20"/>
  <c r="L49" i="16" l="1"/>
  <c r="M49" i="16" s="1"/>
  <c r="N41" i="16"/>
  <c r="O41" i="16" s="1"/>
  <c r="L41" i="16"/>
  <c r="M41" i="16" s="1"/>
  <c r="N40" i="16"/>
  <c r="O40" i="16" s="1"/>
  <c r="L40" i="16"/>
  <c r="M40" i="16" s="1"/>
  <c r="N38" i="16"/>
  <c r="O38" i="16" s="1"/>
  <c r="L38" i="16"/>
  <c r="M38" i="16" s="1"/>
  <c r="N37" i="16"/>
  <c r="O37" i="16" s="1"/>
  <c r="L37" i="16"/>
  <c r="M37" i="16" s="1"/>
  <c r="N34" i="16"/>
  <c r="O34" i="16" s="1"/>
  <c r="L34" i="16"/>
  <c r="M34" i="16" s="1"/>
  <c r="N19" i="16"/>
  <c r="O19" i="16" s="1"/>
  <c r="L19" i="16"/>
  <c r="M19" i="16" s="1"/>
  <c r="N18" i="16"/>
  <c r="O18" i="16" s="1"/>
  <c r="L18" i="16"/>
  <c r="M18" i="16" s="1"/>
  <c r="N17" i="16"/>
  <c r="O17" i="16" s="1"/>
  <c r="L17" i="16"/>
  <c r="M17" i="16" s="1"/>
  <c r="N16" i="16"/>
  <c r="O16" i="16" s="1"/>
  <c r="L16" i="16"/>
  <c r="M16" i="16" s="1"/>
  <c r="N15" i="16"/>
  <c r="O15" i="16" s="1"/>
  <c r="L15" i="16"/>
  <c r="M15" i="16" s="1"/>
  <c r="N14" i="16"/>
  <c r="O14" i="16" s="1"/>
  <c r="L14" i="16"/>
  <c r="M14" i="16" s="1"/>
  <c r="N13" i="16"/>
  <c r="O13" i="16" s="1"/>
  <c r="L13" i="16"/>
  <c r="M13" i="16" s="1"/>
  <c r="N12" i="16"/>
  <c r="O12" i="16" s="1"/>
  <c r="L12" i="16"/>
  <c r="M12" i="16" s="1"/>
  <c r="N11" i="16"/>
  <c r="O11" i="16" s="1"/>
  <c r="L11" i="16"/>
  <c r="M11" i="16" s="1"/>
  <c r="L55" i="16"/>
  <c r="M55" i="16" s="1"/>
  <c r="L54" i="16"/>
  <c r="M54" i="16" s="1"/>
  <c r="L53" i="16"/>
  <c r="M53" i="16" s="1"/>
  <c r="L52" i="16"/>
  <c r="M52" i="16" s="1"/>
  <c r="L51" i="16"/>
  <c r="M51" i="16" s="1"/>
  <c r="L50" i="16"/>
  <c r="M50" i="16" s="1"/>
  <c r="N9" i="16"/>
  <c r="O9" i="16" s="1"/>
  <c r="L9" i="16"/>
  <c r="M9" i="16" s="1"/>
  <c r="N8" i="16"/>
  <c r="O8" i="16" s="1"/>
  <c r="L8" i="16"/>
  <c r="M8" i="16" s="1"/>
  <c r="N7" i="16"/>
  <c r="O7" i="16" s="1"/>
  <c r="L7" i="16"/>
  <c r="M7" i="16" s="1"/>
  <c r="N6" i="16"/>
  <c r="O6" i="16" s="1"/>
  <c r="L6" i="16"/>
  <c r="M6" i="16" s="1"/>
  <c r="N5" i="16"/>
  <c r="O5" i="16" s="1"/>
  <c r="L5" i="16"/>
  <c r="M5" i="16" s="1"/>
  <c r="N4" i="16"/>
  <c r="O4" i="16" s="1"/>
  <c r="L4" i="16"/>
  <c r="M4" i="16" s="1"/>
  <c r="H4" i="19" l="1"/>
  <c r="H10" i="19" l="1"/>
  <c r="G11" i="19" s="1"/>
</calcChain>
</file>

<file path=xl/sharedStrings.xml><?xml version="1.0" encoding="utf-8"?>
<sst xmlns="http://schemas.openxmlformats.org/spreadsheetml/2006/main" count="152" uniqueCount="83">
  <si>
    <t>От 1 до 5 000</t>
  </si>
  <si>
    <t xml:space="preserve">От 5 001 до 10 000 </t>
  </si>
  <si>
    <t>От 10 001 до 25 000</t>
  </si>
  <si>
    <t xml:space="preserve">От 25 001 до 50 000 </t>
  </si>
  <si>
    <t xml:space="preserve">От 50 001 до 100 000 </t>
  </si>
  <si>
    <t>От 100 001 до 500 000</t>
  </si>
  <si>
    <t>От 500 001 до 1 000 000</t>
  </si>
  <si>
    <t>От 1 000 001 до 10  000 000</t>
  </si>
  <si>
    <t>От 10 000 001 до 20 000 000</t>
  </si>
  <si>
    <t xml:space="preserve">От 20 000 001 </t>
  </si>
  <si>
    <t xml:space="preserve">Мегафон </t>
  </si>
  <si>
    <t xml:space="preserve">от 500 000 до 999 999 </t>
  </si>
  <si>
    <t>от 1 до 99 999</t>
  </si>
  <si>
    <t>МТС</t>
  </si>
  <si>
    <t>Скартел</t>
  </si>
  <si>
    <t>согласованные тарифы</t>
  </si>
  <si>
    <t>Стоимость 1 (одного) сервисного SMS-сообщения, с НДС</t>
  </si>
  <si>
    <t>Стоимость 1 (одного) рекламного  SMS-сообщения, с НДС</t>
  </si>
  <si>
    <t>Мегафон</t>
  </si>
  <si>
    <t>до 100 000</t>
  </si>
  <si>
    <t>от 100 000</t>
  </si>
  <si>
    <t>от 500 000</t>
  </si>
  <si>
    <t xml:space="preserve">от 1 000 000 </t>
  </si>
  <si>
    <t>от 3 000 000</t>
  </si>
  <si>
    <t>от 5 000 000</t>
  </si>
  <si>
    <t>Билайн</t>
  </si>
  <si>
    <t>Теле2</t>
  </si>
  <si>
    <t>от 100 000 до 499 999</t>
  </si>
  <si>
    <t>от 1 000 000 до 4 999 999</t>
  </si>
  <si>
    <t>от 5 000 000 о 19 999 999</t>
  </si>
  <si>
    <t>от 20 000 000 и более</t>
  </si>
  <si>
    <t>Yota</t>
  </si>
  <si>
    <t>Мотив</t>
  </si>
  <si>
    <t>Прочие операторы РФ</t>
  </si>
  <si>
    <t>от 1</t>
  </si>
  <si>
    <t>Оператор связи</t>
  </si>
  <si>
    <t>Шаг тарификации</t>
  </si>
  <si>
    <t>от 100 001 до 3 000 000</t>
  </si>
  <si>
    <t>от 3 000 001</t>
  </si>
  <si>
    <t>сервис</t>
  </si>
  <si>
    <t>реклама</t>
  </si>
  <si>
    <t>до 100 000</t>
  </si>
  <si>
    <t>от 100 000 до 1 000 000</t>
  </si>
  <si>
    <t>от 10 000 000</t>
  </si>
  <si>
    <t>МТС*</t>
  </si>
  <si>
    <t>* количество сообщений определяется по  всем Именам выделенным Заказчику рассылки отдельно для каждого оператора и типа сообщения в Шаге тарификации.
Например, при отправке 200 000 сервсиных SMS-сообщений в месяц сервисные SMS до 100 000 шт. оплачиваются по стоимости 1,35 р., следующие (с 100 001 по 3 000 000 шт.) транзакционные SMS оплачиваются по 0,88 р. и т.д.</t>
  </si>
  <si>
    <t>Прочие операторы</t>
  </si>
  <si>
    <t>маржа</t>
  </si>
  <si>
    <t>Рекламный трафик</t>
  </si>
  <si>
    <t>Разбивка по операторам</t>
  </si>
  <si>
    <t>доля в трафике</t>
  </si>
  <si>
    <t>прогноз. объем</t>
  </si>
  <si>
    <t>Тарифы</t>
  </si>
  <si>
    <t>Сумма</t>
  </si>
  <si>
    <t>Beeline</t>
  </si>
  <si>
    <t>MTS</t>
  </si>
  <si>
    <t>MegaFon</t>
  </si>
  <si>
    <t>Yota (Скартел)</t>
  </si>
  <si>
    <t>Tele2 Russia + Ростелеком</t>
  </si>
  <si>
    <t>Екатеринбург-2000 (МОТИВ)</t>
  </si>
  <si>
    <t>ИТОГО:</t>
  </si>
  <si>
    <t>Совокупный прогнозируемый трафик</t>
  </si>
  <si>
    <t>Ср.цена</t>
  </si>
  <si>
    <t>Сервисный трафик</t>
  </si>
  <si>
    <t>Изменяйте желтый поля</t>
  </si>
  <si>
    <t>Вариант 1. Отправка SMS сообщений с буквенным именем отправителя</t>
  </si>
  <si>
    <t>Вариант 2. Гибридная отправка (Viber=&gt; SMS)</t>
  </si>
  <si>
    <t>Отправка через официальный гарантирвоанный канал Viber, в случае недоставки мгновенная отправка SMS с буквенным именем отправителя.</t>
  </si>
  <si>
    <t>прогнозируемый объем</t>
  </si>
  <si>
    <t>Viber - сообщения</t>
  </si>
  <si>
    <t>SMS - сообщения</t>
  </si>
  <si>
    <t>Ежемесячная экономия:</t>
  </si>
  <si>
    <t>Вариант 3. Гибридная отправка (WhatsaApp=&gt; SMS)</t>
  </si>
  <si>
    <t>Отправка через официальный гарантирвоанный канал WhatsApp, в случае недоставки мгновенная отправка SMS с буквенным именем отправителя.</t>
  </si>
  <si>
    <t>WhatsApp - сообщения</t>
  </si>
  <si>
    <t xml:space="preserve">Вариант 4. Гибридная отправка (OMNI - комуникация). </t>
  </si>
  <si>
    <t>Отправка через официальные гарантирвоанные канал Viber и WhatsApp, в случае недоставки мгновенная отправка SMS с буквенным именем отправителя.</t>
  </si>
  <si>
    <t>WhatsApp-сообщения</t>
  </si>
  <si>
    <t>от 1 000 001 до 3 500 000</t>
  </si>
  <si>
    <t>от 4 500 001 до 7 000 000</t>
  </si>
  <si>
    <t>от 7 000 001 до 10 000 000</t>
  </si>
  <si>
    <t>Тариф "Мультиподпись" (абонентская плата 4000р.)</t>
  </si>
  <si>
    <t>Стоимость 1 (одного) SMS-сообщения,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</si>
</sst>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_₽_-;\-* #,##0.000\ _₽_-;_-* &quot;-&quot;??\ _₽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/>
    <xf numFmtId="0" fontId="2" fillId="0" borderId="0" xfId="1" applyFont="1"/>
    <xf numFmtId="4" fontId="3" fillId="0" borderId="0" xfId="1" applyNumberFormat="1"/>
    <xf numFmtId="4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/>
    </xf>
    <xf numFmtId="0" fontId="1" fillId="4" borderId="0" xfId="2" applyFill="1"/>
    <xf numFmtId="0" fontId="1" fillId="0" borderId="0" xfId="2"/>
    <xf numFmtId="49" fontId="10" fillId="5" borderId="12" xfId="2" applyNumberFormat="1" applyFont="1" applyFill="1" applyBorder="1" applyAlignment="1">
      <alignment horizontal="left" vertical="center" wrapText="1"/>
    </xf>
    <xf numFmtId="0" fontId="10" fillId="5" borderId="12" xfId="2" applyFont="1" applyFill="1" applyBorder="1"/>
    <xf numFmtId="49" fontId="10" fillId="5" borderId="12" xfId="2" applyNumberFormat="1" applyFont="1" applyFill="1" applyBorder="1" applyAlignment="1">
      <alignment horizontal="center" vertical="center" wrapText="1"/>
    </xf>
    <xf numFmtId="0" fontId="1" fillId="4" borderId="12" xfId="2" applyFill="1" applyBorder="1"/>
    <xf numFmtId="9" fontId="0" fillId="4" borderId="12" xfId="3" applyFont="1" applyFill="1" applyBorder="1"/>
    <xf numFmtId="4" fontId="1" fillId="0" borderId="12" xfId="2" applyNumberFormat="1" applyBorder="1" applyAlignment="1">
      <alignment horizontal="center"/>
    </xf>
    <xf numFmtId="3" fontId="1" fillId="4" borderId="12" xfId="2" applyNumberFormat="1" applyFill="1" applyBorder="1"/>
    <xf numFmtId="3" fontId="8" fillId="5" borderId="12" xfId="2" applyNumberFormat="1" applyFont="1" applyFill="1" applyBorder="1"/>
    <xf numFmtId="3" fontId="1" fillId="4" borderId="0" xfId="2" applyNumberFormat="1" applyFill="1"/>
    <xf numFmtId="0" fontId="1" fillId="4" borderId="0" xfId="2" applyFill="1" applyAlignment="1">
      <alignment horizontal="right"/>
    </xf>
    <xf numFmtId="0" fontId="1" fillId="4" borderId="0" xfId="2" applyFill="1" applyAlignment="1">
      <alignment horizontal="center"/>
    </xf>
    <xf numFmtId="0" fontId="9" fillId="4" borderId="0" xfId="2" applyFont="1" applyFill="1"/>
    <xf numFmtId="49" fontId="1" fillId="4" borderId="0" xfId="2" applyNumberFormat="1" applyFill="1" applyAlignment="1">
      <alignment horizontal="left" wrapText="1"/>
    </xf>
    <xf numFmtId="49" fontId="10" fillId="6" borderId="12" xfId="2" applyNumberFormat="1" applyFont="1" applyFill="1" applyBorder="1" applyAlignment="1">
      <alignment horizontal="left" vertical="center" wrapText="1"/>
    </xf>
    <xf numFmtId="0" fontId="10" fillId="6" borderId="12" xfId="2" applyFont="1" applyFill="1" applyBorder="1"/>
    <xf numFmtId="49" fontId="10" fillId="6" borderId="12" xfId="2" applyNumberFormat="1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right"/>
    </xf>
    <xf numFmtId="3" fontId="9" fillId="4" borderId="0" xfId="2" applyNumberFormat="1" applyFont="1" applyFill="1" applyAlignment="1">
      <alignment horizontal="center"/>
    </xf>
    <xf numFmtId="9" fontId="1" fillId="4" borderId="0" xfId="4" applyFont="1" applyFill="1" applyAlignment="1">
      <alignment horizontal="center"/>
    </xf>
    <xf numFmtId="0" fontId="0" fillId="4" borderId="12" xfId="2" applyFont="1" applyFill="1" applyBorder="1"/>
    <xf numFmtId="2" fontId="1" fillId="0" borderId="12" xfId="2" applyNumberFormat="1" applyBorder="1" applyAlignment="1">
      <alignment horizontal="center"/>
    </xf>
    <xf numFmtId="3" fontId="1" fillId="2" borderId="12" xfId="2" applyNumberFormat="1" applyFill="1" applyBorder="1" applyProtection="1">
      <protection locked="0"/>
    </xf>
    <xf numFmtId="9" fontId="0" fillId="2" borderId="12" xfId="3" applyFont="1" applyFill="1" applyBorder="1" applyAlignment="1" applyProtection="1">
      <alignment horizontal="center"/>
      <protection locked="0"/>
    </xf>
    <xf numFmtId="9" fontId="0" fillId="4" borderId="12" xfId="3" applyFont="1" applyFill="1" applyBorder="1" applyAlignment="1" applyProtection="1">
      <alignment horizontal="center"/>
      <protection locked="0"/>
    </xf>
    <xf numFmtId="4" fontId="1" fillId="2" borderId="12" xfId="2" applyNumberFormat="1" applyFill="1" applyBorder="1" applyAlignment="1" applyProtection="1">
      <alignment horizontal="center"/>
      <protection locked="0"/>
    </xf>
    <xf numFmtId="2" fontId="1" fillId="2" borderId="12" xfId="2" applyNumberFormat="1" applyFill="1" applyBorder="1" applyAlignment="1" applyProtection="1">
      <alignment horizontal="center"/>
      <protection locked="0"/>
    </xf>
    <xf numFmtId="4" fontId="1" fillId="0" borderId="12" xfId="2" applyNumberFormat="1" applyFill="1" applyBorder="1" applyAlignment="1" applyProtection="1">
      <alignment horizontal="center"/>
    </xf>
    <xf numFmtId="3" fontId="1" fillId="4" borderId="12" xfId="2" applyNumberFormat="1" applyFill="1" applyBorder="1" applyProtection="1"/>
    <xf numFmtId="3" fontId="8" fillId="5" borderId="12" xfId="2" applyNumberFormat="1" applyFont="1" applyFill="1" applyBorder="1" applyProtection="1"/>
    <xf numFmtId="0" fontId="1" fillId="4" borderId="0" xfId="2" applyFill="1" applyAlignment="1" applyProtection="1">
      <alignment horizontal="center"/>
    </xf>
    <xf numFmtId="3" fontId="1" fillId="4" borderId="0" xfId="2" applyNumberFormat="1" applyFill="1" applyProtection="1"/>
    <xf numFmtId="3" fontId="8" fillId="6" borderId="12" xfId="2" applyNumberFormat="1" applyFont="1" applyFill="1" applyBorder="1" applyProtection="1"/>
    <xf numFmtId="4" fontId="1" fillId="4" borderId="0" xfId="2" applyNumberFormat="1" applyFill="1" applyAlignment="1" applyProtection="1">
      <alignment horizontal="center"/>
    </xf>
    <xf numFmtId="3" fontId="9" fillId="4" borderId="0" xfId="2" applyNumberFormat="1" applyFont="1" applyFill="1" applyAlignment="1" applyProtection="1">
      <alignment horizontal="center"/>
    </xf>
    <xf numFmtId="9" fontId="1" fillId="4" borderId="0" xfId="4" applyFont="1" applyFill="1" applyAlignment="1" applyProtection="1">
      <alignment horizontal="center"/>
    </xf>
    <xf numFmtId="3" fontId="9" fillId="4" borderId="0" xfId="2" applyNumberFormat="1" applyFont="1" applyFill="1" applyProtection="1"/>
    <xf numFmtId="0" fontId="3" fillId="0" borderId="0" xfId="1" applyProtection="1">
      <protection hidden="1"/>
    </xf>
    <xf numFmtId="3" fontId="3" fillId="0" borderId="0" xfId="1" applyNumberFormat="1" applyProtection="1">
      <protection hidden="1"/>
    </xf>
    <xf numFmtId="4" fontId="6" fillId="0" borderId="2" xfId="1" applyNumberFormat="1" applyFont="1" applyBorder="1" applyAlignment="1" applyProtection="1">
      <alignment horizontal="center" vertical="center" wrapText="1"/>
      <protection hidden="1"/>
    </xf>
    <xf numFmtId="4" fontId="3" fillId="0" borderId="0" xfId="1" applyNumberFormat="1" applyProtection="1">
      <protection hidden="1"/>
    </xf>
    <xf numFmtId="4" fontId="6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right" vertical="center" wrapText="1"/>
      <protection locked="0"/>
    </xf>
    <xf numFmtId="4" fontId="3" fillId="0" borderId="2" xfId="1" applyNumberFormat="1" applyBorder="1" applyProtection="1">
      <protection locked="0"/>
    </xf>
    <xf numFmtId="164" fontId="7" fillId="0" borderId="2" xfId="1" applyNumberFormat="1" applyFont="1" applyBorder="1" applyAlignment="1" applyProtection="1">
      <alignment horizontal="right" vertical="center" wrapTex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protection locked="0"/>
    </xf>
    <xf numFmtId="4" fontId="3" fillId="0" borderId="0" xfId="1" applyNumberFormat="1" applyProtection="1">
      <protection locked="0"/>
    </xf>
    <xf numFmtId="9" fontId="3" fillId="0" borderId="0" xfId="1" applyNumberFormat="1"/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3" fillId="0" borderId="0" xfId="1" applyAlignment="1">
      <alignment horizontal="left" wrapText="1"/>
    </xf>
    <xf numFmtId="0" fontId="3" fillId="0" borderId="0" xfId="1" applyAlignment="1">
      <alignment horizontal="left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>
      <alignment horizontal="right"/>
    </xf>
    <xf numFmtId="0" fontId="1" fillId="4" borderId="13" xfId="2" applyFill="1" applyBorder="1" applyAlignment="1">
      <alignment horizontal="right"/>
    </xf>
    <xf numFmtId="49" fontId="0" fillId="4" borderId="0" xfId="2" applyNumberFormat="1" applyFont="1" applyFill="1" applyAlignment="1">
      <alignment horizontal="left" wrapText="1"/>
    </xf>
    <xf numFmtId="0" fontId="8" fillId="6" borderId="12" xfId="2" applyFont="1" applyFill="1" applyBorder="1" applyAlignment="1">
      <alignment horizontal="right"/>
    </xf>
    <xf numFmtId="49" fontId="3" fillId="4" borderId="0" xfId="2" applyNumberFormat="1" applyFont="1" applyFill="1" applyAlignment="1">
      <alignment horizontal="left" wrapText="1"/>
    </xf>
    <xf numFmtId="49" fontId="1" fillId="4" borderId="0" xfId="2" applyNumberFormat="1" applyFill="1" applyAlignment="1">
      <alignment horizontal="left" wrapText="1"/>
    </xf>
    <xf numFmtId="2" fontId="3" fillId="0" borderId="0" xfId="1" applyNumberFormat="1"/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Процентный 2" xfId="3" xr:uid="{00000000-0005-0000-0000-000003000000}"/>
    <cellStyle name="Процентный 3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sgcenter.r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sgcenter.r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sgcenter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850900</xdr:colOff>
      <xdr:row>0</xdr:row>
      <xdr:rowOff>0</xdr:rowOff>
    </xdr:from>
    <xdr:ext cx="6482080" cy="1154182"/>
    <xdr:pic>
      <xdr:nvPicPr>
        <xdr:cNvPr id="2" name="Изображение 1" descr="Снимок экрана 2016-11-08 в 9.55.2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99760-E7C0-8F4B-89BF-6904C028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0"/>
          <a:ext cx="6482080" cy="1154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396240</xdr:colOff>
      <xdr:row>0</xdr:row>
      <xdr:rowOff>0</xdr:rowOff>
    </xdr:from>
    <xdr:ext cx="6482080" cy="1154182"/>
    <xdr:pic>
      <xdr:nvPicPr>
        <xdr:cNvPr id="2" name="Изображение 1" descr="Снимок экрана 2016-11-08 в 9.55.2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BCBFC-C8A6-4E40-B08A-16B696E8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3" y="0"/>
          <a:ext cx="6482080" cy="11541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670560</xdr:colOff>
      <xdr:row>0</xdr:row>
      <xdr:rowOff>0</xdr:rowOff>
    </xdr:from>
    <xdr:ext cx="6482080" cy="1154182"/>
    <xdr:pic>
      <xdr:nvPicPr>
        <xdr:cNvPr id="2" name="Изображение 1" descr="Снимок экрана 2016-11-08 в 9.55.2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7D428B-50FB-6E46-9581-76EB2332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3" y="0"/>
          <a:ext cx="6482080" cy="1154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1:V55"/>
  <sheetViews>
    <sheetView tabSelected="1" workbookViewId="0">
      <selection activeCell="E33" sqref="E33"/>
    </sheetView>
  </sheetViews>
  <sheetFormatPr baseColWidth="10" defaultColWidth="8.83203125" defaultRowHeight="15" x14ac:dyDescent="0.2"/>
  <cols>
    <col min="1" max="1" width="4" style="1" customWidth="1"/>
    <col min="2" max="2" width="21.6640625" style="1" customWidth="1"/>
    <col min="3" max="3" width="23.5" style="1" customWidth="1"/>
    <col min="4" max="5" width="25.5" style="3" customWidth="1"/>
    <col min="6" max="11" width="8.83203125" style="1"/>
    <col min="12" max="13" width="5.5" style="45" hidden="1" customWidth="1"/>
    <col min="14" max="14" width="6.6640625" style="45" hidden="1" customWidth="1"/>
    <col min="15" max="16" width="0" style="45" hidden="1" customWidth="1"/>
    <col min="17" max="17" width="10" style="46" hidden="1" customWidth="1"/>
    <col min="18" max="18" width="9" style="46" hidden="1" customWidth="1"/>
    <col min="19" max="16384" width="8.83203125" style="1"/>
  </cols>
  <sheetData>
    <row r="1" spans="2:22" ht="98" customHeight="1" x14ac:dyDescent="0.2"/>
    <row r="2" spans="2:22" ht="17" customHeight="1" x14ac:dyDescent="0.2">
      <c r="B2" s="59" t="s">
        <v>35</v>
      </c>
      <c r="C2" s="60" t="s">
        <v>36</v>
      </c>
      <c r="D2" s="61" t="s">
        <v>15</v>
      </c>
      <c r="E2" s="61"/>
      <c r="V2" s="4"/>
    </row>
    <row r="3" spans="2:22" ht="26" x14ac:dyDescent="0.2">
      <c r="B3" s="59"/>
      <c r="C3" s="60"/>
      <c r="D3" s="49" t="s">
        <v>16</v>
      </c>
      <c r="E3" s="49" t="s">
        <v>17</v>
      </c>
      <c r="G3" s="56"/>
      <c r="H3" s="56"/>
      <c r="I3" s="56"/>
      <c r="J3" s="56"/>
      <c r="L3" s="47" t="s">
        <v>39</v>
      </c>
      <c r="M3" s="47" t="s">
        <v>47</v>
      </c>
      <c r="N3" s="47" t="s">
        <v>40</v>
      </c>
      <c r="O3" s="47" t="s">
        <v>47</v>
      </c>
    </row>
    <row r="4" spans="2:22" ht="16" customHeight="1" x14ac:dyDescent="0.2">
      <c r="B4" s="57" t="s">
        <v>18</v>
      </c>
      <c r="C4" s="50" t="s">
        <v>19</v>
      </c>
      <c r="D4" s="51">
        <v>1.98</v>
      </c>
      <c r="E4" s="51">
        <v>2.2999999999999998</v>
      </c>
      <c r="L4" s="45">
        <f>ROUND(D4/1.2*0.07+D4/1.2,2)</f>
        <v>1.77</v>
      </c>
      <c r="M4" s="48">
        <f>D4-L4</f>
        <v>0.20999999999999996</v>
      </c>
      <c r="N4" s="45">
        <f t="shared" ref="N4:N9" si="0">ROUND(E4/1.2*0.07+E4/1.2,2)</f>
        <v>2.0499999999999998</v>
      </c>
      <c r="O4" s="48">
        <f>E4-N4</f>
        <v>0.25</v>
      </c>
      <c r="Q4" s="46">
        <v>1</v>
      </c>
      <c r="R4" s="46">
        <v>99999</v>
      </c>
    </row>
    <row r="5" spans="2:22" ht="16" customHeight="1" x14ac:dyDescent="0.2">
      <c r="B5" s="58"/>
      <c r="C5" s="50" t="s">
        <v>20</v>
      </c>
      <c r="D5" s="51">
        <v>1.91</v>
      </c>
      <c r="E5" s="51">
        <v>2.12</v>
      </c>
      <c r="L5" s="45">
        <f t="shared" ref="L5:L9" si="1">ROUND(D5/1.2*0.07+D5/1.2,2)</f>
        <v>1.7</v>
      </c>
      <c r="M5" s="48">
        <f t="shared" ref="M5:M9" si="2">D5-L5</f>
        <v>0.20999999999999996</v>
      </c>
      <c r="N5" s="45">
        <f t="shared" si="0"/>
        <v>1.89</v>
      </c>
      <c r="O5" s="48">
        <f t="shared" ref="O5:O9" si="3">E5-N5</f>
        <v>0.2300000000000002</v>
      </c>
      <c r="Q5" s="46">
        <v>100000</v>
      </c>
      <c r="R5" s="46">
        <v>499999</v>
      </c>
    </row>
    <row r="6" spans="2:22" ht="16" customHeight="1" x14ac:dyDescent="0.2">
      <c r="B6" s="58"/>
      <c r="C6" s="50" t="s">
        <v>21</v>
      </c>
      <c r="D6" s="51">
        <v>1.86</v>
      </c>
      <c r="E6" s="51">
        <v>2.06</v>
      </c>
      <c r="L6" s="45">
        <f t="shared" si="1"/>
        <v>1.66</v>
      </c>
      <c r="M6" s="48">
        <f t="shared" si="2"/>
        <v>0.20000000000000018</v>
      </c>
      <c r="N6" s="45">
        <f t="shared" si="0"/>
        <v>1.84</v>
      </c>
      <c r="O6" s="48">
        <f t="shared" si="3"/>
        <v>0.21999999999999997</v>
      </c>
      <c r="Q6" s="46">
        <v>500000</v>
      </c>
      <c r="R6" s="46">
        <v>999999</v>
      </c>
    </row>
    <row r="7" spans="2:22" ht="16" customHeight="1" x14ac:dyDescent="0.2">
      <c r="B7" s="58"/>
      <c r="C7" s="50" t="s">
        <v>22</v>
      </c>
      <c r="D7" s="51">
        <v>1.8</v>
      </c>
      <c r="E7" s="51">
        <v>2</v>
      </c>
      <c r="L7" s="45">
        <f t="shared" si="1"/>
        <v>1.61</v>
      </c>
      <c r="M7" s="48">
        <f t="shared" si="2"/>
        <v>0.18999999999999995</v>
      </c>
      <c r="N7" s="45">
        <f t="shared" si="0"/>
        <v>1.78</v>
      </c>
      <c r="O7" s="48">
        <f t="shared" si="3"/>
        <v>0.21999999999999997</v>
      </c>
      <c r="Q7" s="46">
        <v>1000000</v>
      </c>
      <c r="R7" s="46">
        <v>2999999</v>
      </c>
    </row>
    <row r="8" spans="2:22" ht="16" customHeight="1" x14ac:dyDescent="0.2">
      <c r="B8" s="58"/>
      <c r="C8" s="50" t="s">
        <v>23</v>
      </c>
      <c r="D8" s="51">
        <v>1.75</v>
      </c>
      <c r="E8" s="51">
        <v>1.94</v>
      </c>
      <c r="L8" s="45">
        <f t="shared" si="1"/>
        <v>1.56</v>
      </c>
      <c r="M8" s="48">
        <f t="shared" si="2"/>
        <v>0.18999999999999995</v>
      </c>
      <c r="N8" s="45">
        <f t="shared" si="0"/>
        <v>1.73</v>
      </c>
      <c r="O8" s="48">
        <f t="shared" si="3"/>
        <v>0.20999999999999996</v>
      </c>
      <c r="Q8" s="46">
        <v>3000000</v>
      </c>
      <c r="R8" s="46">
        <v>4999999</v>
      </c>
    </row>
    <row r="9" spans="2:22" ht="16" customHeight="1" x14ac:dyDescent="0.2">
      <c r="B9" s="58"/>
      <c r="C9" s="50" t="s">
        <v>24</v>
      </c>
      <c r="D9" s="51">
        <v>1.64</v>
      </c>
      <c r="E9" s="51">
        <v>1.82</v>
      </c>
      <c r="L9" s="45">
        <f t="shared" si="1"/>
        <v>1.46</v>
      </c>
      <c r="M9" s="48">
        <f t="shared" si="2"/>
        <v>0.17999999999999994</v>
      </c>
      <c r="N9" s="45">
        <f t="shared" si="0"/>
        <v>1.62</v>
      </c>
      <c r="O9" s="48">
        <f t="shared" si="3"/>
        <v>0.19999999999999996</v>
      </c>
      <c r="Q9" s="46">
        <v>5000000</v>
      </c>
    </row>
    <row r="10" spans="2:22" ht="16" customHeight="1" x14ac:dyDescent="0.2">
      <c r="B10" s="62"/>
      <c r="C10" s="63"/>
      <c r="D10" s="63"/>
      <c r="E10" s="64"/>
    </row>
    <row r="11" spans="2:22" ht="16" customHeight="1" x14ac:dyDescent="0.2">
      <c r="B11" s="57" t="s">
        <v>25</v>
      </c>
      <c r="C11" s="50" t="s">
        <v>0</v>
      </c>
      <c r="D11" s="51">
        <v>1.9559999999999997</v>
      </c>
      <c r="E11" s="51">
        <v>2.5920000000000001</v>
      </c>
      <c r="L11" s="45">
        <f t="shared" ref="L11:L20" si="4">ROUND(D11/1.2*0.07+D11/1.2,2)</f>
        <v>1.74</v>
      </c>
      <c r="M11" s="48">
        <f t="shared" ref="M11:M20" si="5">D11-L11</f>
        <v>0.21599999999999975</v>
      </c>
      <c r="N11" s="45">
        <f t="shared" ref="N11:N20" si="6">ROUND(E11/1.2*0.07+E11/1.2,2)</f>
        <v>2.31</v>
      </c>
      <c r="O11" s="48">
        <f t="shared" ref="O11:O20" si="7">E11-N11</f>
        <v>0.28200000000000003</v>
      </c>
      <c r="Q11" s="46">
        <v>1</v>
      </c>
      <c r="R11" s="46">
        <v>5000</v>
      </c>
    </row>
    <row r="12" spans="2:22" ht="16" customHeight="1" x14ac:dyDescent="0.2">
      <c r="B12" s="58"/>
      <c r="C12" s="50" t="s">
        <v>1</v>
      </c>
      <c r="D12" s="51">
        <v>1.9319999999999999</v>
      </c>
      <c r="E12" s="51">
        <v>2.5799999999999996</v>
      </c>
      <c r="L12" s="45">
        <f t="shared" si="4"/>
        <v>1.72</v>
      </c>
      <c r="M12" s="48">
        <f t="shared" si="5"/>
        <v>0.21199999999999997</v>
      </c>
      <c r="N12" s="45">
        <f t="shared" si="6"/>
        <v>2.2999999999999998</v>
      </c>
      <c r="O12" s="48">
        <f t="shared" si="7"/>
        <v>0.2799999999999998</v>
      </c>
      <c r="Q12" s="46">
        <v>5001</v>
      </c>
      <c r="R12" s="46">
        <v>10000</v>
      </c>
    </row>
    <row r="13" spans="2:22" ht="16" customHeight="1" x14ac:dyDescent="0.2">
      <c r="B13" s="58"/>
      <c r="C13" s="50" t="s">
        <v>2</v>
      </c>
      <c r="D13" s="51">
        <v>1.9079999999999999</v>
      </c>
      <c r="E13" s="51">
        <v>2.5680000000000001</v>
      </c>
      <c r="L13" s="45">
        <f t="shared" si="4"/>
        <v>1.7</v>
      </c>
      <c r="M13" s="48">
        <f t="shared" si="5"/>
        <v>0.20799999999999996</v>
      </c>
      <c r="N13" s="45">
        <f t="shared" si="6"/>
        <v>2.29</v>
      </c>
      <c r="O13" s="48">
        <f t="shared" si="7"/>
        <v>0.27800000000000002</v>
      </c>
      <c r="Q13" s="46">
        <v>10001</v>
      </c>
      <c r="R13" s="46">
        <v>25000</v>
      </c>
    </row>
    <row r="14" spans="2:22" ht="16" customHeight="1" x14ac:dyDescent="0.2">
      <c r="B14" s="58"/>
      <c r="C14" s="50" t="s">
        <v>3</v>
      </c>
      <c r="D14" s="51">
        <v>1.8839999999999999</v>
      </c>
      <c r="E14" s="51">
        <v>2.5319999999999996</v>
      </c>
      <c r="L14" s="45">
        <f t="shared" si="4"/>
        <v>1.68</v>
      </c>
      <c r="M14" s="48">
        <f t="shared" si="5"/>
        <v>0.20399999999999996</v>
      </c>
      <c r="N14" s="45">
        <f t="shared" si="6"/>
        <v>2.2599999999999998</v>
      </c>
      <c r="O14" s="48">
        <f t="shared" si="7"/>
        <v>0.2719999999999998</v>
      </c>
      <c r="Q14" s="46">
        <v>25001</v>
      </c>
      <c r="R14" s="46">
        <v>50000</v>
      </c>
    </row>
    <row r="15" spans="2:22" ht="16" customHeight="1" x14ac:dyDescent="0.2">
      <c r="B15" s="58"/>
      <c r="C15" s="50" t="s">
        <v>4</v>
      </c>
      <c r="D15" s="51">
        <v>1.8599999999999999</v>
      </c>
      <c r="E15" s="51">
        <v>2.5079999999999996</v>
      </c>
      <c r="L15" s="45">
        <f t="shared" si="4"/>
        <v>1.66</v>
      </c>
      <c r="M15" s="48">
        <f t="shared" si="5"/>
        <v>0.19999999999999996</v>
      </c>
      <c r="N15" s="45">
        <f t="shared" si="6"/>
        <v>2.2400000000000002</v>
      </c>
      <c r="O15" s="48">
        <f t="shared" si="7"/>
        <v>0.26799999999999935</v>
      </c>
      <c r="Q15" s="46">
        <v>50001</v>
      </c>
      <c r="R15" s="46">
        <v>100000</v>
      </c>
    </row>
    <row r="16" spans="2:22" ht="16" customHeight="1" x14ac:dyDescent="0.2">
      <c r="B16" s="58"/>
      <c r="C16" s="50" t="s">
        <v>5</v>
      </c>
      <c r="D16" s="51">
        <v>1.8239999999999998</v>
      </c>
      <c r="E16" s="51">
        <v>2.4839999999999995</v>
      </c>
      <c r="L16" s="45">
        <f t="shared" si="4"/>
        <v>1.63</v>
      </c>
      <c r="M16" s="48">
        <f t="shared" si="5"/>
        <v>0.19399999999999995</v>
      </c>
      <c r="N16" s="45">
        <f t="shared" si="6"/>
        <v>2.21</v>
      </c>
      <c r="O16" s="48">
        <f t="shared" si="7"/>
        <v>0.27399999999999958</v>
      </c>
      <c r="Q16" s="46">
        <v>100001</v>
      </c>
      <c r="R16" s="46">
        <v>500000</v>
      </c>
    </row>
    <row r="17" spans="2:19" ht="16" customHeight="1" x14ac:dyDescent="0.2">
      <c r="B17" s="58"/>
      <c r="C17" s="50" t="s">
        <v>6</v>
      </c>
      <c r="D17" s="51">
        <v>1.788</v>
      </c>
      <c r="E17" s="51">
        <v>2.448</v>
      </c>
      <c r="L17" s="45">
        <f t="shared" si="4"/>
        <v>1.59</v>
      </c>
      <c r="M17" s="48">
        <f t="shared" si="5"/>
        <v>0.19799999999999995</v>
      </c>
      <c r="N17" s="45">
        <f t="shared" si="6"/>
        <v>2.1800000000000002</v>
      </c>
      <c r="O17" s="48">
        <f t="shared" si="7"/>
        <v>0.26799999999999979</v>
      </c>
      <c r="Q17" s="46">
        <v>500001</v>
      </c>
      <c r="R17" s="46">
        <v>1000000</v>
      </c>
    </row>
    <row r="18" spans="2:19" ht="16" customHeight="1" x14ac:dyDescent="0.2">
      <c r="B18" s="58"/>
      <c r="C18" s="50" t="s">
        <v>7</v>
      </c>
      <c r="D18" s="51">
        <v>1.74</v>
      </c>
      <c r="E18" s="51">
        <v>2.4119999999999995</v>
      </c>
      <c r="L18" s="45">
        <f t="shared" si="4"/>
        <v>1.55</v>
      </c>
      <c r="M18" s="48">
        <f t="shared" si="5"/>
        <v>0.18999999999999995</v>
      </c>
      <c r="N18" s="45">
        <f t="shared" si="6"/>
        <v>2.15</v>
      </c>
      <c r="O18" s="48">
        <f t="shared" si="7"/>
        <v>0.26199999999999957</v>
      </c>
      <c r="Q18" s="46">
        <v>1000001</v>
      </c>
      <c r="R18" s="46">
        <v>10000000</v>
      </c>
    </row>
    <row r="19" spans="2:19" ht="16" customHeight="1" x14ac:dyDescent="0.2">
      <c r="B19" s="58"/>
      <c r="C19" s="50" t="s">
        <v>8</v>
      </c>
      <c r="D19" s="51">
        <v>1.6559999999999999</v>
      </c>
      <c r="E19" s="51">
        <v>2.3519999999999999</v>
      </c>
      <c r="L19" s="45">
        <f t="shared" si="4"/>
        <v>1.48</v>
      </c>
      <c r="M19" s="48">
        <f t="shared" si="5"/>
        <v>0.17599999999999993</v>
      </c>
      <c r="N19" s="45">
        <f t="shared" si="6"/>
        <v>2.1</v>
      </c>
      <c r="O19" s="48">
        <f t="shared" si="7"/>
        <v>0.25199999999999978</v>
      </c>
      <c r="Q19" s="46">
        <v>10000001</v>
      </c>
      <c r="R19" s="46">
        <v>20000000</v>
      </c>
    </row>
    <row r="20" spans="2:19" ht="16" customHeight="1" x14ac:dyDescent="0.2">
      <c r="B20" s="58"/>
      <c r="C20" s="50" t="s">
        <v>9</v>
      </c>
      <c r="D20" s="51">
        <v>1.3440000000000001</v>
      </c>
      <c r="E20" s="51">
        <v>2.2919999999999998</v>
      </c>
      <c r="M20" s="48"/>
      <c r="O20" s="48"/>
    </row>
    <row r="21" spans="2:19" ht="16" customHeight="1" x14ac:dyDescent="0.2">
      <c r="B21" s="62"/>
      <c r="C21" s="68"/>
      <c r="D21" s="68"/>
      <c r="E21" s="69"/>
    </row>
    <row r="22" spans="2:19" ht="16" customHeight="1" x14ac:dyDescent="0.2">
      <c r="B22" s="70" t="s">
        <v>26</v>
      </c>
      <c r="C22" s="50" t="s">
        <v>12</v>
      </c>
      <c r="D22" s="51">
        <v>1.62</v>
      </c>
      <c r="E22" s="51">
        <v>2.7239999999999998</v>
      </c>
      <c r="G22" s="81"/>
      <c r="I22" s="81"/>
      <c r="J22" s="81"/>
      <c r="K22" s="81"/>
      <c r="M22" s="48"/>
      <c r="O22" s="48"/>
      <c r="S22" s="81"/>
    </row>
    <row r="23" spans="2:19" ht="16" customHeight="1" x14ac:dyDescent="0.2">
      <c r="B23" s="70"/>
      <c r="C23" s="50" t="s">
        <v>27</v>
      </c>
      <c r="D23" s="51">
        <v>1.56</v>
      </c>
      <c r="E23" s="51">
        <v>2.7119999999999997</v>
      </c>
      <c r="G23" s="81"/>
      <c r="I23" s="81"/>
      <c r="J23" s="81"/>
      <c r="K23" s="81"/>
      <c r="M23" s="48"/>
      <c r="O23" s="48"/>
      <c r="S23" s="81"/>
    </row>
    <row r="24" spans="2:19" ht="16" customHeight="1" x14ac:dyDescent="0.2">
      <c r="B24" s="70"/>
      <c r="C24" s="50" t="s">
        <v>11</v>
      </c>
      <c r="D24" s="51">
        <v>1.5</v>
      </c>
      <c r="E24" s="51">
        <v>2.6759999999999997</v>
      </c>
      <c r="G24" s="81"/>
      <c r="I24" s="81"/>
      <c r="J24" s="81"/>
      <c r="K24" s="81"/>
      <c r="M24" s="48"/>
      <c r="O24" s="48"/>
      <c r="S24" s="81"/>
    </row>
    <row r="25" spans="2:19" ht="16" customHeight="1" x14ac:dyDescent="0.2">
      <c r="B25" s="70"/>
      <c r="C25" s="50" t="s">
        <v>28</v>
      </c>
      <c r="D25" s="51">
        <v>1.452</v>
      </c>
      <c r="E25" s="51">
        <v>2.6519999999999997</v>
      </c>
      <c r="G25" s="81"/>
      <c r="I25" s="81"/>
      <c r="J25" s="81"/>
      <c r="K25" s="81"/>
      <c r="M25" s="48"/>
      <c r="O25" s="48"/>
      <c r="S25" s="81"/>
    </row>
    <row r="26" spans="2:19" ht="16" customHeight="1" x14ac:dyDescent="0.2">
      <c r="B26" s="70"/>
      <c r="C26" s="50" t="s">
        <v>29</v>
      </c>
      <c r="D26" s="51">
        <v>1.4159999999999999</v>
      </c>
      <c r="E26" s="51">
        <v>2.64</v>
      </c>
      <c r="G26" s="81"/>
      <c r="I26" s="81"/>
      <c r="J26" s="81"/>
      <c r="K26" s="81"/>
      <c r="M26" s="48"/>
      <c r="O26" s="48"/>
      <c r="S26" s="81"/>
    </row>
    <row r="27" spans="2:19" ht="16" customHeight="1" x14ac:dyDescent="0.2">
      <c r="B27" s="57"/>
      <c r="C27" s="50" t="s">
        <v>30</v>
      </c>
      <c r="D27" s="51">
        <v>1.38</v>
      </c>
      <c r="E27" s="51">
        <v>2.5920000000000001</v>
      </c>
      <c r="G27" s="81"/>
      <c r="I27" s="81"/>
      <c r="J27" s="81"/>
      <c r="K27" s="81"/>
      <c r="M27" s="48"/>
      <c r="O27" s="48"/>
      <c r="S27" s="81"/>
    </row>
    <row r="28" spans="2:19" ht="16" customHeight="1" x14ac:dyDescent="0.2">
      <c r="B28" s="62"/>
      <c r="C28" s="63"/>
      <c r="D28" s="63"/>
      <c r="E28" s="64"/>
    </row>
    <row r="29" spans="2:19" ht="16" customHeight="1" x14ac:dyDescent="0.2">
      <c r="B29" s="57" t="s">
        <v>44</v>
      </c>
      <c r="C29" s="52" t="s">
        <v>19</v>
      </c>
      <c r="D29" s="51">
        <v>1.4175000000000002</v>
      </c>
      <c r="E29" s="51">
        <v>1.9949999999999999</v>
      </c>
      <c r="M29" s="48"/>
      <c r="O29" s="48"/>
    </row>
    <row r="30" spans="2:19" ht="16" customHeight="1" x14ac:dyDescent="0.2">
      <c r="B30" s="58"/>
      <c r="C30" s="52" t="s">
        <v>37</v>
      </c>
      <c r="D30" s="51">
        <v>0.92400000000000004</v>
      </c>
      <c r="E30" s="51">
        <v>1.6800000000000002</v>
      </c>
      <c r="M30" s="48"/>
      <c r="O30" s="48"/>
    </row>
    <row r="31" spans="2:19" ht="16" customHeight="1" x14ac:dyDescent="0.2">
      <c r="B31" s="58"/>
      <c r="C31" s="52" t="s">
        <v>38</v>
      </c>
      <c r="D31" s="51">
        <v>0.74549999999999994</v>
      </c>
      <c r="E31" s="51">
        <v>1.3650000000000002</v>
      </c>
      <c r="M31" s="48"/>
      <c r="O31" s="48"/>
    </row>
    <row r="32" spans="2:19" ht="16" customHeight="1" x14ac:dyDescent="0.2">
      <c r="B32" s="62"/>
      <c r="C32" s="63"/>
      <c r="D32" s="63"/>
      <c r="E32" s="64"/>
    </row>
    <row r="33" spans="2:18" ht="16" customHeight="1" x14ac:dyDescent="0.2">
      <c r="B33" s="73" t="s">
        <v>32</v>
      </c>
      <c r="C33" s="50" t="s">
        <v>41</v>
      </c>
      <c r="D33" s="51">
        <v>1.68</v>
      </c>
      <c r="E33" s="51">
        <v>1.68</v>
      </c>
      <c r="M33" s="48"/>
      <c r="O33" s="48"/>
    </row>
    <row r="34" spans="2:18" ht="16" customHeight="1" x14ac:dyDescent="0.2">
      <c r="B34" s="74"/>
      <c r="C34" s="50" t="s">
        <v>42</v>
      </c>
      <c r="D34" s="51">
        <v>1.58</v>
      </c>
      <c r="E34" s="51">
        <v>1.58</v>
      </c>
      <c r="L34" s="45">
        <f t="shared" ref="L33:L38" si="8">ROUND(D34/1.2*0.07+D34/1.2,2)</f>
        <v>1.41</v>
      </c>
      <c r="M34" s="48">
        <f t="shared" ref="M33:M38" si="9">D34-L34</f>
        <v>0.17000000000000015</v>
      </c>
      <c r="N34" s="45">
        <f t="shared" ref="N33:N38" si="10">ROUND(E34/1.2*0.07+E34/1.2,2)</f>
        <v>1.41</v>
      </c>
      <c r="O34" s="48">
        <f t="shared" ref="O33:O38" si="11">E34-N34</f>
        <v>0.17000000000000015</v>
      </c>
      <c r="Q34" s="46">
        <v>100000</v>
      </c>
      <c r="R34" s="46">
        <v>999999</v>
      </c>
    </row>
    <row r="35" spans="2:18" ht="16" customHeight="1" x14ac:dyDescent="0.2">
      <c r="B35" s="74"/>
      <c r="C35" s="50" t="s">
        <v>78</v>
      </c>
      <c r="D35" s="51">
        <v>1.5</v>
      </c>
      <c r="E35" s="51">
        <v>1.5</v>
      </c>
      <c r="L35" s="45">
        <f t="shared" si="8"/>
        <v>1.34</v>
      </c>
      <c r="M35" s="48">
        <f t="shared" si="9"/>
        <v>0.15999999999999992</v>
      </c>
      <c r="N35" s="45">
        <f t="shared" si="10"/>
        <v>1.34</v>
      </c>
      <c r="O35" s="48">
        <f t="shared" si="11"/>
        <v>0.15999999999999992</v>
      </c>
    </row>
    <row r="36" spans="2:18" ht="16" customHeight="1" x14ac:dyDescent="0.2">
      <c r="B36" s="74"/>
      <c r="C36" s="50" t="s">
        <v>79</v>
      </c>
      <c r="D36" s="51">
        <v>1.38</v>
      </c>
      <c r="E36" s="51">
        <v>1.38</v>
      </c>
      <c r="L36" s="45">
        <f t="shared" si="8"/>
        <v>1.23</v>
      </c>
      <c r="M36" s="48">
        <f t="shared" si="9"/>
        <v>0.14999999999999991</v>
      </c>
      <c r="N36" s="45">
        <f t="shared" si="10"/>
        <v>1.23</v>
      </c>
      <c r="O36" s="48">
        <f t="shared" si="11"/>
        <v>0.14999999999999991</v>
      </c>
    </row>
    <row r="37" spans="2:18" ht="16" customHeight="1" x14ac:dyDescent="0.2">
      <c r="B37" s="74"/>
      <c r="C37" s="50" t="s">
        <v>80</v>
      </c>
      <c r="D37" s="51">
        <v>1.27</v>
      </c>
      <c r="E37" s="51">
        <v>1.27</v>
      </c>
      <c r="L37" s="45">
        <f t="shared" si="8"/>
        <v>1.1299999999999999</v>
      </c>
      <c r="M37" s="48">
        <f t="shared" si="9"/>
        <v>0.14000000000000012</v>
      </c>
      <c r="N37" s="45">
        <f t="shared" si="10"/>
        <v>1.1299999999999999</v>
      </c>
      <c r="O37" s="48">
        <f t="shared" si="11"/>
        <v>0.14000000000000012</v>
      </c>
      <c r="Q37" s="46">
        <v>1000001</v>
      </c>
      <c r="R37" s="46">
        <v>9999999</v>
      </c>
    </row>
    <row r="38" spans="2:18" ht="16" customHeight="1" x14ac:dyDescent="0.2">
      <c r="B38" s="74"/>
      <c r="C38" s="50" t="s">
        <v>43</v>
      </c>
      <c r="D38" s="51">
        <v>1.1399999999999999</v>
      </c>
      <c r="E38" s="51">
        <v>1.1399999999999999</v>
      </c>
      <c r="L38" s="45">
        <f t="shared" si="8"/>
        <v>1.02</v>
      </c>
      <c r="M38" s="48">
        <f t="shared" si="9"/>
        <v>0.11999999999999988</v>
      </c>
      <c r="N38" s="45">
        <f t="shared" si="10"/>
        <v>1.02</v>
      </c>
      <c r="O38" s="48">
        <f t="shared" si="11"/>
        <v>0.11999999999999988</v>
      </c>
      <c r="Q38" s="46">
        <v>10000000</v>
      </c>
    </row>
    <row r="39" spans="2:18" ht="16" customHeight="1" x14ac:dyDescent="0.2">
      <c r="B39" s="62"/>
      <c r="C39" s="63"/>
      <c r="D39" s="63"/>
      <c r="E39" s="64"/>
    </row>
    <row r="40" spans="2:18" ht="16" customHeight="1" x14ac:dyDescent="0.2">
      <c r="B40" s="53" t="s">
        <v>31</v>
      </c>
      <c r="C40" s="52" t="s">
        <v>34</v>
      </c>
      <c r="D40" s="51">
        <v>2.34</v>
      </c>
      <c r="E40" s="51">
        <v>2.34</v>
      </c>
      <c r="L40" s="45">
        <f t="shared" ref="L40:L41" si="12">ROUND(D40/1.2*0.07+D40/1.2,2)</f>
        <v>2.09</v>
      </c>
      <c r="M40" s="48">
        <f t="shared" ref="M40:M41" si="13">D40-L40</f>
        <v>0.25</v>
      </c>
      <c r="N40" s="45">
        <f t="shared" ref="N40:N41" si="14">ROUND(E40/1.2*0.07+E40/1.2,2)</f>
        <v>2.09</v>
      </c>
      <c r="O40" s="48">
        <f t="shared" ref="O40:O41" si="15">E40-N40</f>
        <v>0.25</v>
      </c>
    </row>
    <row r="41" spans="2:18" ht="16" customHeight="1" x14ac:dyDescent="0.2">
      <c r="B41" s="53" t="s">
        <v>33</v>
      </c>
      <c r="C41" s="52" t="s">
        <v>34</v>
      </c>
      <c r="D41" s="51">
        <v>2.6</v>
      </c>
      <c r="E41" s="51">
        <v>2.6</v>
      </c>
      <c r="L41" s="45">
        <f t="shared" si="12"/>
        <v>2.3199999999999998</v>
      </c>
      <c r="M41" s="48">
        <f t="shared" si="13"/>
        <v>0.28000000000000025</v>
      </c>
      <c r="N41" s="45">
        <f t="shared" si="14"/>
        <v>2.3199999999999998</v>
      </c>
      <c r="O41" s="48">
        <f t="shared" si="15"/>
        <v>0.28000000000000025</v>
      </c>
    </row>
    <row r="42" spans="2:18" x14ac:dyDescent="0.2">
      <c r="B42" s="54"/>
      <c r="C42" s="54"/>
      <c r="D42" s="55"/>
      <c r="E42" s="55"/>
    </row>
    <row r="43" spans="2:18" ht="57" customHeight="1" x14ac:dyDescent="0.2">
      <c r="B43" s="71" t="s">
        <v>45</v>
      </c>
      <c r="C43" s="72"/>
      <c r="D43" s="72"/>
      <c r="E43" s="72"/>
    </row>
    <row r="46" spans="2:18" x14ac:dyDescent="0.2">
      <c r="B46" s="2" t="s">
        <v>81</v>
      </c>
      <c r="D46" s="1"/>
    </row>
    <row r="47" spans="2:18" ht="23.25" customHeight="1" x14ac:dyDescent="0.2">
      <c r="B47" s="65" t="s">
        <v>35</v>
      </c>
      <c r="C47" s="66" t="s">
        <v>36</v>
      </c>
      <c r="D47" s="66" t="s">
        <v>82</v>
      </c>
    </row>
    <row r="48" spans="2:18" x14ac:dyDescent="0.2">
      <c r="B48" s="65"/>
      <c r="C48" s="67"/>
      <c r="D48" s="67"/>
    </row>
    <row r="49" spans="2:15" x14ac:dyDescent="0.2">
      <c r="B49" s="6" t="s">
        <v>13</v>
      </c>
      <c r="C49" s="5" t="s">
        <v>34</v>
      </c>
      <c r="D49" s="51">
        <v>2</v>
      </c>
      <c r="L49" s="45">
        <f>ROUND(D49/1.2*0.07+D49/1.2,2)</f>
        <v>1.78</v>
      </c>
      <c r="M49" s="48">
        <f>D49-L49</f>
        <v>0.21999999999999997</v>
      </c>
      <c r="O49" s="48"/>
    </row>
    <row r="50" spans="2:15" x14ac:dyDescent="0.2">
      <c r="B50" s="6" t="s">
        <v>25</v>
      </c>
      <c r="C50" s="5" t="s">
        <v>34</v>
      </c>
      <c r="D50" s="51">
        <v>3.23</v>
      </c>
      <c r="L50" s="45">
        <f t="shared" ref="L50:L55" si="16">ROUND(D50/1.2*0.07+D50/1.2,2)</f>
        <v>2.88</v>
      </c>
      <c r="M50" s="48">
        <f t="shared" ref="M50:M55" si="17">D50-L50</f>
        <v>0.35000000000000009</v>
      </c>
    </row>
    <row r="51" spans="2:15" x14ac:dyDescent="0.2">
      <c r="B51" s="6" t="s">
        <v>26</v>
      </c>
      <c r="C51" s="5" t="s">
        <v>34</v>
      </c>
      <c r="D51" s="51">
        <v>2.76</v>
      </c>
      <c r="L51" s="45">
        <f t="shared" si="16"/>
        <v>2.46</v>
      </c>
      <c r="M51" s="48">
        <f t="shared" si="17"/>
        <v>0.29999999999999982</v>
      </c>
    </row>
    <row r="52" spans="2:15" x14ac:dyDescent="0.2">
      <c r="B52" s="6" t="s">
        <v>10</v>
      </c>
      <c r="C52" s="5" t="s">
        <v>34</v>
      </c>
      <c r="D52" s="51">
        <v>2.2999999999999998</v>
      </c>
      <c r="L52" s="45">
        <f t="shared" si="16"/>
        <v>2.0499999999999998</v>
      </c>
      <c r="M52" s="48">
        <f t="shared" si="17"/>
        <v>0.25</v>
      </c>
    </row>
    <row r="53" spans="2:15" x14ac:dyDescent="0.2">
      <c r="B53" s="6" t="s">
        <v>14</v>
      </c>
      <c r="C53" s="5" t="s">
        <v>34</v>
      </c>
      <c r="D53" s="51">
        <v>2.34</v>
      </c>
      <c r="L53" s="45">
        <f t="shared" si="16"/>
        <v>2.09</v>
      </c>
      <c r="M53" s="48">
        <f t="shared" si="17"/>
        <v>0.25</v>
      </c>
    </row>
    <row r="54" spans="2:15" x14ac:dyDescent="0.2">
      <c r="B54" s="6" t="s">
        <v>32</v>
      </c>
      <c r="C54" s="5" t="s">
        <v>34</v>
      </c>
      <c r="D54" s="51">
        <v>1.7</v>
      </c>
      <c r="L54" s="45">
        <f t="shared" si="16"/>
        <v>1.52</v>
      </c>
      <c r="M54" s="48">
        <f t="shared" si="17"/>
        <v>0.17999999999999994</v>
      </c>
    </row>
    <row r="55" spans="2:15" x14ac:dyDescent="0.2">
      <c r="B55" s="6" t="s">
        <v>46</v>
      </c>
      <c r="C55" s="5" t="s">
        <v>34</v>
      </c>
      <c r="D55" s="51">
        <v>2.6</v>
      </c>
      <c r="L55" s="45">
        <f t="shared" si="16"/>
        <v>2.3199999999999998</v>
      </c>
      <c r="M55" s="48">
        <f t="shared" si="17"/>
        <v>0.28000000000000025</v>
      </c>
    </row>
  </sheetData>
  <mergeCells count="17">
    <mergeCell ref="B47:B48"/>
    <mergeCell ref="C47:C48"/>
    <mergeCell ref="D47:D48"/>
    <mergeCell ref="B21:E21"/>
    <mergeCell ref="B22:B27"/>
    <mergeCell ref="B28:E28"/>
    <mergeCell ref="B29:B31"/>
    <mergeCell ref="B32:E32"/>
    <mergeCell ref="B43:E43"/>
    <mergeCell ref="B33:B39"/>
    <mergeCell ref="C39:E39"/>
    <mergeCell ref="B11:B20"/>
    <mergeCell ref="B2:B3"/>
    <mergeCell ref="C2:C3"/>
    <mergeCell ref="D2:E2"/>
    <mergeCell ref="B4:B9"/>
    <mergeCell ref="B10:E10"/>
  </mergeCells>
  <pageMargins left="0.7" right="0.7" top="0.75" bottom="0.75" header="0.3" footer="0.3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XFD128"/>
  <sheetViews>
    <sheetView zoomScale="125" zoomScaleNormal="125" zoomScalePageLayoutView="125" workbookViewId="0">
      <selection activeCell="E6" sqref="E6"/>
    </sheetView>
  </sheetViews>
  <sheetFormatPr baseColWidth="10" defaultColWidth="8.83203125" defaultRowHeight="15" x14ac:dyDescent="0.2"/>
  <cols>
    <col min="1" max="1" width="2.33203125" style="7" customWidth="1"/>
    <col min="2" max="2" width="33.83203125" style="8" bestFit="1" customWidth="1"/>
    <col min="3" max="3" width="8.83203125" style="8"/>
    <col min="4" max="4" width="9.5" style="8" customWidth="1"/>
    <col min="5" max="5" width="10.6640625" style="8" customWidth="1"/>
    <col min="6" max="6" width="8.83203125" style="8" customWidth="1"/>
    <col min="7" max="7" width="9" style="8" bestFit="1" customWidth="1"/>
    <col min="8" max="8" width="11.33203125" style="8" bestFit="1" customWidth="1"/>
    <col min="9" max="39" width="8.83203125" style="7"/>
    <col min="40" max="16384" width="8.83203125" style="8"/>
  </cols>
  <sheetData>
    <row r="1" spans="2:16384" s="7" customFormat="1" ht="93" customHeight="1" x14ac:dyDescent="0.2"/>
    <row r="2" spans="2:16384" x14ac:dyDescent="0.2">
      <c r="B2" s="7" t="s">
        <v>48</v>
      </c>
      <c r="C2" s="7"/>
      <c r="D2" s="7"/>
      <c r="E2" s="7"/>
      <c r="F2" s="7"/>
      <c r="G2" s="7"/>
      <c r="H2" s="7"/>
    </row>
    <row r="3" spans="2:16384" s="7" customFormat="1" ht="32" x14ac:dyDescent="0.2">
      <c r="B3" s="9" t="s">
        <v>49</v>
      </c>
      <c r="C3" s="10"/>
      <c r="D3" s="9" t="s">
        <v>50</v>
      </c>
      <c r="E3" s="9" t="s">
        <v>51</v>
      </c>
      <c r="F3" s="11"/>
      <c r="G3" s="11" t="s">
        <v>52</v>
      </c>
      <c r="H3" s="11" t="s">
        <v>53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2:16384" s="7" customFormat="1" ht="16" x14ac:dyDescent="0.2">
      <c r="B4" s="12" t="s">
        <v>54</v>
      </c>
      <c r="C4" s="12"/>
      <c r="D4" s="13">
        <f>E4/$E$11</f>
        <v>0.21276595744680851</v>
      </c>
      <c r="E4" s="30">
        <v>1250000</v>
      </c>
      <c r="F4" s="14"/>
      <c r="G4" s="35">
        <f>IF(E4&gt;Price!R19,Price!E20,IF(E4&gt;Price!R18,Price!E19,IF(E4&gt;Price!R17,Price!E18,IF(E4&gt;Price!R16,Price!E17,IF(E4&gt;Price!R15,Price!E16,IF(E4&gt;Price!R14,Price!E15,IF(E4&gt;Price!R14,Price!E15,IF(E4&gt;Price!R13,Price!E14,IF(E4&gt;Price!R12,Price!E13,IF(E4&gt;Price!R11,Price!E12,Price!E11))))))))))</f>
        <v>2.4119999999999995</v>
      </c>
      <c r="H4" s="15">
        <f t="shared" ref="H4:H9" si="0">G4*E4</f>
        <v>3014999.9999999995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2:16384" s="7" customFormat="1" ht="16" x14ac:dyDescent="0.2">
      <c r="B5" s="12" t="s">
        <v>55</v>
      </c>
      <c r="C5" s="12"/>
      <c r="D5" s="13">
        <f>E5/$E$11</f>
        <v>0.1702127659574468</v>
      </c>
      <c r="E5" s="30">
        <v>1000000</v>
      </c>
      <c r="F5" s="14"/>
      <c r="G5" s="35">
        <f>IF(E5&gt;Price!R30,Price!E31,IF(E5&gt;Price!R29,Price!E30,Price!E29))</f>
        <v>1.3650000000000002</v>
      </c>
      <c r="H5" s="15">
        <f t="shared" si="0"/>
        <v>1365000.0000000002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2:16384" s="7" customFormat="1" ht="16" x14ac:dyDescent="0.2">
      <c r="B6" s="12" t="s">
        <v>56</v>
      </c>
      <c r="C6" s="12"/>
      <c r="D6" s="13">
        <f t="shared" ref="D6:D9" si="1">E6/$E$11</f>
        <v>0.25531914893617019</v>
      </c>
      <c r="E6" s="30">
        <v>1500000</v>
      </c>
      <c r="F6" s="14"/>
      <c r="G6" s="35">
        <f>IF(E6&gt;Price!R8,Price!E9,IF(E6&gt;Price!R7,Price!E8,IF(E6&gt;Price!R6,Price!E7,IF(E6&gt;Price!R5,Price!E6,IF(E6&gt;Price!R4,Price!E5,Price!E4)))))</f>
        <v>2</v>
      </c>
      <c r="H6" s="15">
        <f t="shared" si="0"/>
        <v>3000000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2:16384" s="7" customFormat="1" ht="16" x14ac:dyDescent="0.2">
      <c r="B7" s="12" t="s">
        <v>57</v>
      </c>
      <c r="C7" s="12"/>
      <c r="D7" s="13">
        <f t="shared" si="1"/>
        <v>0.25531914893617019</v>
      </c>
      <c r="E7" s="30">
        <v>1500000</v>
      </c>
      <c r="F7" s="14"/>
      <c r="G7" s="35">
        <f>Price!E40</f>
        <v>2.34</v>
      </c>
      <c r="H7" s="15">
        <f t="shared" si="0"/>
        <v>3510000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2:16384" s="7" customFormat="1" ht="16" x14ac:dyDescent="0.2">
      <c r="B8" s="12" t="s">
        <v>58</v>
      </c>
      <c r="C8" s="12"/>
      <c r="D8" s="13">
        <f t="shared" si="1"/>
        <v>0.10212765957446808</v>
      </c>
      <c r="E8" s="30">
        <v>600000</v>
      </c>
      <c r="F8" s="14"/>
      <c r="G8" s="35">
        <f>IF(E8&gt;Price!R26,Price!E27,IF(E8&gt;Price!R25,Price!E26,IF(E8&gt;Price!R24,Price!E25,IF(E8&gt;Price!R23,Price!E24,IF(E8&gt;Price!R22,Price!E23,Price!E22)))))</f>
        <v>2.5920000000000001</v>
      </c>
      <c r="H8" s="15">
        <f t="shared" si="0"/>
        <v>1555200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  <c r="XFD8" s="8"/>
    </row>
    <row r="9" spans="2:16384" s="7" customFormat="1" ht="16" x14ac:dyDescent="0.2">
      <c r="B9" s="12" t="s">
        <v>59</v>
      </c>
      <c r="C9" s="12"/>
      <c r="D9" s="13">
        <f t="shared" si="1"/>
        <v>4.2553191489361703E-3</v>
      </c>
      <c r="E9" s="30">
        <v>25000</v>
      </c>
      <c r="F9" s="14"/>
      <c r="G9" s="35">
        <f>IF(E9&gt;Price!R37,Price!E38,IF(E9&gt;Price!R34,Price!E37,IF(E9&gt;Price!R33,Price!E34,Price!E33)))</f>
        <v>1.58</v>
      </c>
      <c r="H9" s="15">
        <f t="shared" si="0"/>
        <v>39500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pans="2:16384" s="7" customFormat="1" x14ac:dyDescent="0.2">
      <c r="B10" s="75" t="s">
        <v>60</v>
      </c>
      <c r="C10" s="75"/>
      <c r="D10" s="75"/>
      <c r="E10" s="75"/>
      <c r="F10" s="75"/>
      <c r="G10" s="75"/>
      <c r="H10" s="16">
        <f>SUM(H4:H9)</f>
        <v>12484700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  <c r="XFD10" s="8"/>
    </row>
    <row r="11" spans="2:16384" s="7" customFormat="1" x14ac:dyDescent="0.2">
      <c r="B11" s="76" t="s">
        <v>61</v>
      </c>
      <c r="C11" s="76"/>
      <c r="D11" s="76"/>
      <c r="E11" s="17">
        <f>SUM(E4:E9)</f>
        <v>5875000</v>
      </c>
      <c r="F11" s="18" t="s">
        <v>62</v>
      </c>
      <c r="G11" s="19">
        <f>H10/E11</f>
        <v>2.1250553191489363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  <c r="XFC11" s="8"/>
      <c r="XFD11" s="8"/>
    </row>
    <row r="12" spans="2:16384" s="7" customFormat="1" x14ac:dyDescent="0.2"/>
    <row r="13" spans="2:16384" s="7" customFormat="1" x14ac:dyDescent="0.2">
      <c r="B13" s="7" t="s">
        <v>63</v>
      </c>
    </row>
    <row r="14" spans="2:16384" s="7" customFormat="1" ht="32" x14ac:dyDescent="0.2">
      <c r="B14" s="9" t="s">
        <v>49</v>
      </c>
      <c r="C14" s="10"/>
      <c r="D14" s="9" t="s">
        <v>50</v>
      </c>
      <c r="E14" s="9" t="s">
        <v>51</v>
      </c>
      <c r="F14" s="11"/>
      <c r="G14" s="11" t="s">
        <v>52</v>
      </c>
      <c r="H14" s="11" t="s">
        <v>53</v>
      </c>
    </row>
    <row r="15" spans="2:16384" s="7" customFormat="1" ht="16" x14ac:dyDescent="0.2">
      <c r="B15" s="12" t="s">
        <v>54</v>
      </c>
      <c r="C15" s="12"/>
      <c r="D15" s="13">
        <f>E15/$E$22</f>
        <v>0.17898832684824903</v>
      </c>
      <c r="E15" s="30">
        <v>1150000</v>
      </c>
      <c r="F15" s="14"/>
      <c r="G15" s="35">
        <f>IF(E15&gt;Price!R19,Price!D20,IF(E15&gt;Price!R18,Price!D19,IF(E15&gt;Price!R17,Price!D18,IF(E15&gt;Price!R16,Price!D17,IF(E15&gt;Price!R15,Price!D16,IF(E15&gt;Price!R14,Price!D15,IF(E15&gt;Price!R14,Price!D15,IF(E15&gt;Price!R13,Price!D14,IF(E15&gt;Price!R12,Price!D13,IF(E15&gt;Price!R11,Price!D12,Price!D11))))))))))</f>
        <v>1.74</v>
      </c>
      <c r="H15" s="15">
        <f>G15*E15</f>
        <v>2001000</v>
      </c>
    </row>
    <row r="16" spans="2:16384" s="7" customFormat="1" ht="16" x14ac:dyDescent="0.2">
      <c r="B16" s="12" t="s">
        <v>55</v>
      </c>
      <c r="C16" s="12"/>
      <c r="D16" s="13">
        <f t="shared" ref="D16:D20" si="2">E16/$E$22</f>
        <v>0.2723735408560311</v>
      </c>
      <c r="E16" s="30">
        <v>1750000</v>
      </c>
      <c r="F16" s="14"/>
      <c r="G16" s="35">
        <f>IF(E16&gt;Price!R30,Price!D31,IF(E16&gt;Price!R29,Price!D30,Price!D29))</f>
        <v>0.74549999999999994</v>
      </c>
      <c r="H16" s="15">
        <f t="shared" ref="H16:H20" si="3">G16*E16</f>
        <v>1304625</v>
      </c>
    </row>
    <row r="17" spans="2:8" s="7" customFormat="1" ht="16" x14ac:dyDescent="0.2">
      <c r="B17" s="12" t="s">
        <v>56</v>
      </c>
      <c r="C17" s="12"/>
      <c r="D17" s="13">
        <f t="shared" si="2"/>
        <v>0.23346303501945526</v>
      </c>
      <c r="E17" s="30">
        <v>1500000</v>
      </c>
      <c r="F17" s="14"/>
      <c r="G17" s="35">
        <f>IF(E17&gt;Price!R8,Price!D9,IF(E17&gt;Price!R7,Price!D8,IF(E17&gt;Price!R6,Price!D7,IF(E17&gt;Price!R5,Price!D6,IF(E17&gt;Price!R4,Price!D5,Price!D4)))))</f>
        <v>1.8</v>
      </c>
      <c r="H17" s="15">
        <f t="shared" si="3"/>
        <v>2700000</v>
      </c>
    </row>
    <row r="18" spans="2:8" s="7" customFormat="1" ht="16" x14ac:dyDescent="0.2">
      <c r="B18" s="12" t="s">
        <v>57</v>
      </c>
      <c r="C18" s="12"/>
      <c r="D18" s="13">
        <f>E18/$E$22</f>
        <v>0.23346303501945526</v>
      </c>
      <c r="E18" s="30">
        <v>1500000</v>
      </c>
      <c r="F18" s="14"/>
      <c r="G18" s="35">
        <f>Price!D40</f>
        <v>2.34</v>
      </c>
      <c r="H18" s="15">
        <f t="shared" si="3"/>
        <v>3510000</v>
      </c>
    </row>
    <row r="19" spans="2:8" s="7" customFormat="1" ht="16" x14ac:dyDescent="0.2">
      <c r="B19" s="12" t="s">
        <v>58</v>
      </c>
      <c r="C19" s="12"/>
      <c r="D19" s="13">
        <f t="shared" si="2"/>
        <v>7.7821011673151752E-2</v>
      </c>
      <c r="E19" s="30">
        <v>500000</v>
      </c>
      <c r="F19" s="14"/>
      <c r="G19" s="35">
        <f>IF(E19&gt;Price!R26,Price!D27,IF(E19&gt;Price!R25,Price!D26,IF(E19&gt;Price!R24,Price!D25,IF(E19&gt;Price!R23,Price!D24,IF(E19&gt;Price!R22,Price!D23,Price!D22)))))</f>
        <v>1.38</v>
      </c>
      <c r="H19" s="15">
        <f t="shared" si="3"/>
        <v>690000</v>
      </c>
    </row>
    <row r="20" spans="2:8" s="7" customFormat="1" ht="16" x14ac:dyDescent="0.2">
      <c r="B20" s="12" t="s">
        <v>59</v>
      </c>
      <c r="C20" s="12"/>
      <c r="D20" s="13">
        <f t="shared" si="2"/>
        <v>3.8910505836575876E-3</v>
      </c>
      <c r="E20" s="30">
        <v>25000</v>
      </c>
      <c r="F20" s="14"/>
      <c r="G20" s="35">
        <f>IF(E20&gt;Price!R37,Price!D38,IF(E20&gt;Price!R34,Price!D37,IF(E20&gt;Price!R33,Price!D34,Price!D33)))</f>
        <v>1.58</v>
      </c>
      <c r="H20" s="15">
        <f t="shared" si="3"/>
        <v>39500</v>
      </c>
    </row>
    <row r="21" spans="2:8" s="7" customFormat="1" x14ac:dyDescent="0.2">
      <c r="B21" s="75" t="s">
        <v>60</v>
      </c>
      <c r="C21" s="75"/>
      <c r="D21" s="75"/>
      <c r="E21" s="75"/>
      <c r="F21" s="75"/>
      <c r="G21" s="75"/>
      <c r="H21" s="16">
        <f>SUM(H15:H20)</f>
        <v>10245125</v>
      </c>
    </row>
    <row r="22" spans="2:8" s="7" customFormat="1" x14ac:dyDescent="0.2">
      <c r="B22" s="76" t="s">
        <v>61</v>
      </c>
      <c r="C22" s="76"/>
      <c r="D22" s="76"/>
      <c r="E22" s="17">
        <f>SUM(E15:E20)</f>
        <v>6425000</v>
      </c>
      <c r="F22" s="18" t="s">
        <v>62</v>
      </c>
      <c r="G22" s="19">
        <f>H21/E22</f>
        <v>1.5945719844357977</v>
      </c>
    </row>
    <row r="23" spans="2:8" s="7" customFormat="1" x14ac:dyDescent="0.2"/>
    <row r="24" spans="2:8" s="7" customFormat="1" x14ac:dyDescent="0.2">
      <c r="B24" s="20" t="s">
        <v>64</v>
      </c>
    </row>
    <row r="25" spans="2:8" s="7" customFormat="1" x14ac:dyDescent="0.2"/>
    <row r="26" spans="2:8" s="7" customFormat="1" x14ac:dyDescent="0.2"/>
    <row r="27" spans="2:8" s="7" customFormat="1" x14ac:dyDescent="0.2"/>
    <row r="28" spans="2:8" s="7" customFormat="1" x14ac:dyDescent="0.2"/>
    <row r="29" spans="2:8" s="7" customFormat="1" x14ac:dyDescent="0.2"/>
    <row r="30" spans="2:8" s="7" customFormat="1" x14ac:dyDescent="0.2"/>
    <row r="31" spans="2:8" s="7" customFormat="1" x14ac:dyDescent="0.2"/>
    <row r="32" spans="2:8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</sheetData>
  <sheetProtection algorithmName="SHA-512" hashValue="ImL0SGba0l4islQcAh2nYAVv8SYPbFdSbNSjGsBA5Kjwmm8LCmI/GxQwj53srnsVO/h0diSFfh8h8oKMFK7UHQ==" saltValue="ykWemPUj7vwNa7Jacfwfjw==" spinCount="100000" sheet="1" objects="1" scenarios="1"/>
  <mergeCells count="4">
    <mergeCell ref="B10:G10"/>
    <mergeCell ref="B11:D11"/>
    <mergeCell ref="B21:G21"/>
    <mergeCell ref="B22:D22"/>
  </mergeCells>
  <pageMargins left="0.25" right="0.25" top="0.75" bottom="0.75" header="0.3" footer="0.3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XFD154"/>
  <sheetViews>
    <sheetView topLeftCell="B1" zoomScaleNormal="100" zoomScalePageLayoutView="125" workbookViewId="0">
      <selection activeCell="G18" sqref="G18"/>
    </sheetView>
  </sheetViews>
  <sheetFormatPr baseColWidth="10" defaultColWidth="8.83203125" defaultRowHeight="15" x14ac:dyDescent="0.2"/>
  <cols>
    <col min="1" max="1" width="2.33203125" style="7" customWidth="1"/>
    <col min="2" max="2" width="33.83203125" style="8" bestFit="1" customWidth="1"/>
    <col min="3" max="3" width="8.83203125" style="8"/>
    <col min="4" max="4" width="9.5" style="8" customWidth="1"/>
    <col min="5" max="5" width="15.5" style="8" customWidth="1"/>
    <col min="6" max="6" width="8.83203125" style="8"/>
    <col min="7" max="7" width="9.1640625" style="8" bestFit="1" customWidth="1"/>
    <col min="8" max="8" width="9" style="8" customWidth="1"/>
    <col min="9" max="39" width="8.83203125" style="7"/>
    <col min="40" max="16384" width="8.83203125" style="8"/>
  </cols>
  <sheetData>
    <row r="1" spans="2:16384" ht="9" customHeight="1" x14ac:dyDescent="0.2">
      <c r="B1" s="20"/>
      <c r="C1" s="7"/>
      <c r="D1" s="7"/>
      <c r="E1" s="7"/>
      <c r="F1" s="7"/>
      <c r="G1" s="7"/>
      <c r="H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2:16384" ht="9" customHeight="1" x14ac:dyDescent="0.2">
      <c r="B2" s="20"/>
      <c r="C2" s="7"/>
      <c r="D2" s="7"/>
      <c r="E2" s="7"/>
      <c r="F2" s="7"/>
      <c r="G2" s="7"/>
      <c r="H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pans="2:16384" ht="9" customHeight="1" x14ac:dyDescent="0.2">
      <c r="B3" s="20"/>
      <c r="C3" s="7"/>
      <c r="D3" s="7"/>
      <c r="E3" s="7"/>
      <c r="F3" s="7"/>
      <c r="G3" s="7"/>
      <c r="H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2:16384" ht="9" customHeight="1" x14ac:dyDescent="0.2">
      <c r="B4" s="20"/>
      <c r="C4" s="7"/>
      <c r="D4" s="7"/>
      <c r="E4" s="7"/>
      <c r="F4" s="7"/>
      <c r="G4" s="7"/>
      <c r="H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2:16384" ht="9" customHeight="1" x14ac:dyDescent="0.2">
      <c r="B5" s="20"/>
      <c r="C5" s="7"/>
      <c r="D5" s="7"/>
      <c r="E5" s="7"/>
      <c r="F5" s="7"/>
      <c r="G5" s="7"/>
      <c r="H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2:16384" ht="9" customHeight="1" x14ac:dyDescent="0.2">
      <c r="B6" s="20"/>
      <c r="C6" s="7"/>
      <c r="D6" s="7"/>
      <c r="E6" s="7"/>
      <c r="F6" s="7"/>
      <c r="G6" s="7"/>
      <c r="H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2:16384" ht="9" customHeight="1" x14ac:dyDescent="0.2">
      <c r="B7" s="20"/>
      <c r="C7" s="7"/>
      <c r="D7" s="7"/>
      <c r="E7" s="7"/>
      <c r="F7" s="7"/>
      <c r="G7" s="7"/>
      <c r="H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2:16384" ht="9" customHeight="1" x14ac:dyDescent="0.2">
      <c r="B8" s="20"/>
      <c r="C8" s="7"/>
      <c r="D8" s="7"/>
      <c r="E8" s="7"/>
      <c r="F8" s="7"/>
      <c r="G8" s="7"/>
      <c r="H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pans="2:16384" ht="9" customHeight="1" x14ac:dyDescent="0.2">
      <c r="B9" s="20"/>
      <c r="C9" s="7"/>
      <c r="D9" s="7"/>
      <c r="E9" s="7"/>
      <c r="F9" s="7"/>
      <c r="G9" s="7"/>
      <c r="H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pans="2:16384" ht="9" customHeight="1" x14ac:dyDescent="0.2">
      <c r="B10" s="20"/>
      <c r="C10" s="7"/>
      <c r="D10" s="7"/>
      <c r="E10" s="7"/>
      <c r="F10" s="7"/>
      <c r="G10" s="7"/>
      <c r="H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pans="2:16384" ht="9" customHeight="1" x14ac:dyDescent="0.2">
      <c r="B11" s="20"/>
      <c r="C11" s="7"/>
      <c r="D11" s="7"/>
      <c r="E11" s="7"/>
      <c r="F11" s="7"/>
      <c r="G11" s="7"/>
      <c r="H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pans="2:16384" ht="23" customHeight="1" x14ac:dyDescent="0.2">
      <c r="B12" s="20" t="s">
        <v>65</v>
      </c>
      <c r="C12" s="7"/>
      <c r="D12" s="7"/>
      <c r="E12" s="7"/>
      <c r="F12" s="7"/>
      <c r="G12" s="7"/>
      <c r="H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pans="2:16384" s="7" customFormat="1" x14ac:dyDescent="0.2">
      <c r="B13" s="7" t="s">
        <v>63</v>
      </c>
    </row>
    <row r="14" spans="2:16384" ht="32" x14ac:dyDescent="0.2">
      <c r="B14" s="9" t="s">
        <v>49</v>
      </c>
      <c r="C14" s="10"/>
      <c r="D14" s="9" t="s">
        <v>50</v>
      </c>
      <c r="E14" s="9" t="s">
        <v>51</v>
      </c>
      <c r="F14" s="11"/>
      <c r="G14" s="11" t="s">
        <v>52</v>
      </c>
      <c r="H14" s="11" t="s">
        <v>53</v>
      </c>
    </row>
    <row r="15" spans="2:16384" ht="16" x14ac:dyDescent="0.2">
      <c r="B15" s="12" t="s">
        <v>54</v>
      </c>
      <c r="C15" s="12"/>
      <c r="D15" s="13">
        <f t="shared" ref="D15:D20" si="0">E15/$E$22</f>
        <v>0.17898832684824903</v>
      </c>
      <c r="E15" s="30">
        <v>1150000</v>
      </c>
      <c r="F15" s="14"/>
      <c r="G15" s="35">
        <f>IF(E15&gt;Price!R19,Price!D20,IF(E15&gt;Price!R18,Price!D19,IF(E15&gt;Price!R17,Price!D18,IF(E15&gt;Price!R16,Price!D17,IF(E15&gt;Price!R15,Price!D16,IF(E15&gt;Price!R14,Price!D15,IF(E15&gt;Price!R14,Price!D15,IF(E15&gt;Price!R13,Price!D14,IF(E15&gt;Price!R12,Price!D13,IF(E15&gt;Price!R11,Price!D12,Price!D11))))))))))</f>
        <v>1.74</v>
      </c>
      <c r="H15" s="36">
        <f t="shared" ref="H15:H20" si="1">G15*E15</f>
        <v>2001000</v>
      </c>
    </row>
    <row r="16" spans="2:16384" ht="16" x14ac:dyDescent="0.2">
      <c r="B16" s="12" t="s">
        <v>55</v>
      </c>
      <c r="C16" s="12"/>
      <c r="D16" s="13">
        <f t="shared" si="0"/>
        <v>0.2723735408560311</v>
      </c>
      <c r="E16" s="30">
        <v>1750000</v>
      </c>
      <c r="F16" s="14"/>
      <c r="G16" s="35">
        <f>IF(E16&gt;Price!R30,Price!D31,IF(E16&gt;Price!R29,Price!D30,Price!D29))</f>
        <v>0.74549999999999994</v>
      </c>
      <c r="H16" s="36">
        <f t="shared" si="1"/>
        <v>1304625</v>
      </c>
    </row>
    <row r="17" spans="2:8" ht="16" x14ac:dyDescent="0.2">
      <c r="B17" s="12" t="s">
        <v>56</v>
      </c>
      <c r="C17" s="12"/>
      <c r="D17" s="13">
        <f t="shared" si="0"/>
        <v>0.23346303501945526</v>
      </c>
      <c r="E17" s="30">
        <v>1500000</v>
      </c>
      <c r="F17" s="14"/>
      <c r="G17" s="35">
        <f>IF(E17&gt;Price!R8,Price!D9,IF(E17&gt;Price!R7,Price!D8,IF(E17&gt;Price!R6,Price!D7,IF(E17&gt;Price!R5,Price!D6,IF(E17&gt;Price!R4,Price!D5,Price!D4)))))</f>
        <v>1.8</v>
      </c>
      <c r="H17" s="36">
        <f t="shared" si="1"/>
        <v>2700000</v>
      </c>
    </row>
    <row r="18" spans="2:8" ht="16" x14ac:dyDescent="0.2">
      <c r="B18" s="12" t="s">
        <v>57</v>
      </c>
      <c r="C18" s="12"/>
      <c r="D18" s="13">
        <f t="shared" si="0"/>
        <v>0.23346303501945526</v>
      </c>
      <c r="E18" s="30">
        <v>1500000</v>
      </c>
      <c r="F18" s="14"/>
      <c r="G18" s="35">
        <f>Price!E40</f>
        <v>2.34</v>
      </c>
      <c r="H18" s="36">
        <f>G18*E18</f>
        <v>3510000</v>
      </c>
    </row>
    <row r="19" spans="2:8" ht="16" x14ac:dyDescent="0.2">
      <c r="B19" s="12" t="s">
        <v>58</v>
      </c>
      <c r="C19" s="12"/>
      <c r="D19" s="13">
        <f t="shared" si="0"/>
        <v>7.7821011673151752E-2</v>
      </c>
      <c r="E19" s="30">
        <v>500000</v>
      </c>
      <c r="F19" s="14"/>
      <c r="G19" s="35">
        <f>IF(E19&gt;Price!R26,Price!D27,IF(E19&gt;Price!R25,Price!D26,IF(E19&gt;Price!R24,Price!D25,IF(E19&gt;Price!R23,Price!D24,IF(D8&gt;Price!R22,Price!D23,Price!D22)))))</f>
        <v>1.38</v>
      </c>
      <c r="H19" s="36">
        <f t="shared" si="1"/>
        <v>690000</v>
      </c>
    </row>
    <row r="20" spans="2:8" ht="16" x14ac:dyDescent="0.2">
      <c r="B20" s="12" t="s">
        <v>59</v>
      </c>
      <c r="C20" s="12"/>
      <c r="D20" s="13">
        <f t="shared" si="0"/>
        <v>3.8910505836575876E-3</v>
      </c>
      <c r="E20" s="30">
        <v>25000</v>
      </c>
      <c r="F20" s="14"/>
      <c r="G20" s="35">
        <f>IF(E20&gt;Price!R37,Price!D38,IF(E20&gt;Price!R34,Price!D37,IF(E20&gt;Price!R33,Price!D34,Price!D33)))</f>
        <v>1.58</v>
      </c>
      <c r="H20" s="36">
        <f t="shared" si="1"/>
        <v>39500</v>
      </c>
    </row>
    <row r="21" spans="2:8" s="7" customFormat="1" x14ac:dyDescent="0.2">
      <c r="B21" s="75" t="s">
        <v>60</v>
      </c>
      <c r="C21" s="75"/>
      <c r="D21" s="75"/>
      <c r="E21" s="75"/>
      <c r="F21" s="75"/>
      <c r="G21" s="75"/>
      <c r="H21" s="37">
        <f>SUM(H15:H20)</f>
        <v>10245125</v>
      </c>
    </row>
    <row r="22" spans="2:8" s="7" customFormat="1" x14ac:dyDescent="0.2">
      <c r="B22" s="76" t="s">
        <v>61</v>
      </c>
      <c r="C22" s="76"/>
      <c r="D22" s="76"/>
      <c r="E22" s="39">
        <f>SUM(E15:E20)</f>
        <v>6425000</v>
      </c>
      <c r="F22" s="18" t="s">
        <v>62</v>
      </c>
      <c r="G22" s="38">
        <f>H21/E22</f>
        <v>1.5945719844357977</v>
      </c>
    </row>
    <row r="23" spans="2:8" s="7" customFormat="1" x14ac:dyDescent="0.2">
      <c r="B23" s="18"/>
      <c r="C23" s="18"/>
      <c r="D23" s="18"/>
      <c r="E23" s="18"/>
      <c r="F23" s="18"/>
      <c r="G23" s="19"/>
    </row>
    <row r="24" spans="2:8" s="7" customFormat="1" x14ac:dyDescent="0.2">
      <c r="B24" s="18"/>
      <c r="C24" s="18"/>
      <c r="D24" s="18"/>
      <c r="E24" s="18"/>
      <c r="F24" s="18"/>
      <c r="G24" s="19"/>
    </row>
    <row r="25" spans="2:8" s="7" customFormat="1" x14ac:dyDescent="0.2">
      <c r="B25" s="20" t="s">
        <v>66</v>
      </c>
      <c r="C25" s="18"/>
      <c r="D25" s="18"/>
      <c r="E25" s="18"/>
      <c r="F25" s="18"/>
      <c r="G25" s="19"/>
    </row>
    <row r="26" spans="2:8" s="7" customFormat="1" ht="30" customHeight="1" x14ac:dyDescent="0.2">
      <c r="B26" s="79" t="s">
        <v>67</v>
      </c>
      <c r="C26" s="79"/>
      <c r="D26" s="79"/>
      <c r="E26" s="79"/>
      <c r="F26" s="79"/>
      <c r="G26" s="79"/>
      <c r="H26" s="79"/>
    </row>
    <row r="27" spans="2:8" s="7" customFormat="1" ht="13" customHeight="1" x14ac:dyDescent="0.2">
      <c r="B27" s="21"/>
      <c r="C27" s="21"/>
      <c r="D27" s="21"/>
      <c r="E27" s="21"/>
      <c r="F27" s="21"/>
      <c r="G27" s="21"/>
      <c r="H27" s="21"/>
    </row>
    <row r="28" spans="2:8" s="7" customFormat="1" ht="32" x14ac:dyDescent="0.2">
      <c r="B28" s="22" t="s">
        <v>49</v>
      </c>
      <c r="C28" s="23"/>
      <c r="D28" s="22" t="s">
        <v>50</v>
      </c>
      <c r="E28" s="22" t="s">
        <v>68</v>
      </c>
      <c r="F28" s="24"/>
      <c r="G28" s="24" t="s">
        <v>52</v>
      </c>
      <c r="H28" s="24" t="s">
        <v>53</v>
      </c>
    </row>
    <row r="29" spans="2:8" s="7" customFormat="1" ht="16" x14ac:dyDescent="0.2">
      <c r="B29" s="12" t="s">
        <v>69</v>
      </c>
      <c r="C29" s="12"/>
      <c r="D29" s="31">
        <v>0.3</v>
      </c>
      <c r="E29" s="36">
        <f>E22*D29</f>
        <v>1927500</v>
      </c>
      <c r="F29" s="14"/>
      <c r="G29" s="33">
        <v>0.5</v>
      </c>
      <c r="H29" s="36">
        <f>G29*E29</f>
        <v>963750</v>
      </c>
    </row>
    <row r="30" spans="2:8" s="7" customFormat="1" ht="16" x14ac:dyDescent="0.2">
      <c r="B30" s="12" t="s">
        <v>70</v>
      </c>
      <c r="C30" s="12"/>
      <c r="D30" s="32">
        <f>1-D29</f>
        <v>0.7</v>
      </c>
      <c r="E30" s="36">
        <f>E22*D30</f>
        <v>4497500</v>
      </c>
      <c r="F30" s="14"/>
      <c r="G30" s="33">
        <f>G22</f>
        <v>1.5945719844357977</v>
      </c>
      <c r="H30" s="36">
        <f>G30*E30</f>
        <v>7171587.5</v>
      </c>
    </row>
    <row r="31" spans="2:8" s="7" customFormat="1" x14ac:dyDescent="0.2">
      <c r="B31" s="78" t="s">
        <v>60</v>
      </c>
      <c r="C31" s="78"/>
      <c r="D31" s="78"/>
      <c r="E31" s="78"/>
      <c r="F31" s="78"/>
      <c r="G31" s="78"/>
      <c r="H31" s="40">
        <f>SUM(H29:H30)</f>
        <v>8135337.5</v>
      </c>
    </row>
    <row r="32" spans="2:8" s="7" customFormat="1" x14ac:dyDescent="0.2">
      <c r="F32" s="18" t="s">
        <v>62</v>
      </c>
      <c r="G32" s="41">
        <f>(E29*G29+E30*G30)/SUM(E29:E30)</f>
        <v>1.2662003891050584</v>
      </c>
    </row>
    <row r="33" spans="2:8" s="7" customFormat="1" x14ac:dyDescent="0.2">
      <c r="B33" s="25" t="s">
        <v>71</v>
      </c>
      <c r="C33" s="42">
        <f>H21-H31</f>
        <v>2109787.5</v>
      </c>
      <c r="D33" s="43">
        <f>C33/H21</f>
        <v>0.20593086955991263</v>
      </c>
    </row>
    <row r="34" spans="2:8" s="7" customFormat="1" x14ac:dyDescent="0.2">
      <c r="B34" s="25"/>
      <c r="C34" s="26"/>
      <c r="D34" s="27"/>
    </row>
    <row r="35" spans="2:8" s="7" customFormat="1" x14ac:dyDescent="0.2"/>
    <row r="36" spans="2:8" s="7" customFormat="1" x14ac:dyDescent="0.2">
      <c r="B36" s="20" t="s">
        <v>72</v>
      </c>
    </row>
    <row r="37" spans="2:8" s="7" customFormat="1" ht="30" customHeight="1" x14ac:dyDescent="0.2">
      <c r="B37" s="80" t="s">
        <v>73</v>
      </c>
      <c r="C37" s="80"/>
      <c r="D37" s="80"/>
      <c r="E37" s="80"/>
      <c r="F37" s="80"/>
      <c r="G37" s="80"/>
      <c r="H37" s="80"/>
    </row>
    <row r="38" spans="2:8" s="7" customFormat="1" ht="13" customHeight="1" x14ac:dyDescent="0.2">
      <c r="B38" s="21"/>
      <c r="C38" s="21"/>
      <c r="D38" s="21"/>
      <c r="E38" s="21"/>
      <c r="F38" s="21"/>
      <c r="G38" s="21"/>
      <c r="H38" s="21"/>
    </row>
    <row r="39" spans="2:8" s="7" customFormat="1" ht="32" x14ac:dyDescent="0.2">
      <c r="B39" s="22" t="s">
        <v>49</v>
      </c>
      <c r="C39" s="23"/>
      <c r="D39" s="22" t="s">
        <v>50</v>
      </c>
      <c r="E39" s="22" t="s">
        <v>68</v>
      </c>
      <c r="F39" s="24"/>
      <c r="G39" s="24" t="s">
        <v>52</v>
      </c>
      <c r="H39" s="24" t="s">
        <v>53</v>
      </c>
    </row>
    <row r="40" spans="2:8" s="7" customFormat="1" ht="16" x14ac:dyDescent="0.2">
      <c r="B40" s="28" t="s">
        <v>74</v>
      </c>
      <c r="C40" s="12"/>
      <c r="D40" s="31">
        <v>0.8</v>
      </c>
      <c r="E40" s="15">
        <f>E22*D40</f>
        <v>5140000</v>
      </c>
      <c r="F40" s="14"/>
      <c r="G40" s="33">
        <v>0.5</v>
      </c>
      <c r="H40" s="36">
        <f>G40*E40</f>
        <v>2570000</v>
      </c>
    </row>
    <row r="41" spans="2:8" s="7" customFormat="1" ht="16" x14ac:dyDescent="0.2">
      <c r="B41" s="12" t="s">
        <v>70</v>
      </c>
      <c r="C41" s="12"/>
      <c r="D41" s="32">
        <f>1-D40</f>
        <v>0.19999999999999996</v>
      </c>
      <c r="E41" s="15">
        <f>D41*E22</f>
        <v>1284999.9999999998</v>
      </c>
      <c r="F41" s="14"/>
      <c r="G41" s="33">
        <f>G22</f>
        <v>1.5945719844357977</v>
      </c>
      <c r="H41" s="36">
        <f>G41*E41</f>
        <v>2049024.9999999998</v>
      </c>
    </row>
    <row r="42" spans="2:8" s="7" customFormat="1" x14ac:dyDescent="0.2">
      <c r="B42" s="78" t="s">
        <v>60</v>
      </c>
      <c r="C42" s="78"/>
      <c r="D42" s="78"/>
      <c r="E42" s="78"/>
      <c r="F42" s="78"/>
      <c r="G42" s="78"/>
      <c r="H42" s="40">
        <f>SUM(H40:H41)</f>
        <v>4619025</v>
      </c>
    </row>
    <row r="43" spans="2:8" s="7" customFormat="1" x14ac:dyDescent="0.2">
      <c r="F43" s="18" t="s">
        <v>62</v>
      </c>
      <c r="G43" s="41">
        <f>(E40*G40+E41*G41)/SUM(E40:E41)</f>
        <v>0.71891439688715952</v>
      </c>
    </row>
    <row r="44" spans="2:8" s="7" customFormat="1" x14ac:dyDescent="0.2">
      <c r="B44" s="25" t="s">
        <v>71</v>
      </c>
      <c r="C44" s="42">
        <f>H21-H42</f>
        <v>5626100</v>
      </c>
      <c r="D44" s="43">
        <f>C44/H21</f>
        <v>0.54914898549310043</v>
      </c>
    </row>
    <row r="45" spans="2:8" s="7" customFormat="1" x14ac:dyDescent="0.2"/>
    <row r="46" spans="2:8" s="7" customFormat="1" x14ac:dyDescent="0.2"/>
    <row r="47" spans="2:8" s="7" customFormat="1" x14ac:dyDescent="0.2">
      <c r="B47" s="20" t="s">
        <v>75</v>
      </c>
    </row>
    <row r="48" spans="2:8" s="7" customFormat="1" ht="28" customHeight="1" x14ac:dyDescent="0.2">
      <c r="B48" s="77" t="s">
        <v>76</v>
      </c>
      <c r="C48" s="77"/>
      <c r="D48" s="77"/>
      <c r="E48" s="77"/>
      <c r="F48" s="77"/>
      <c r="G48" s="77"/>
      <c r="H48" s="77"/>
    </row>
    <row r="49" spans="2:8" s="7" customFormat="1" x14ac:dyDescent="0.2">
      <c r="B49" s="21"/>
      <c r="C49" s="21"/>
      <c r="D49" s="21"/>
      <c r="E49" s="21"/>
      <c r="F49" s="21"/>
      <c r="G49" s="21"/>
      <c r="H49" s="21"/>
    </row>
    <row r="50" spans="2:8" s="7" customFormat="1" ht="32" x14ac:dyDescent="0.2">
      <c r="B50" s="22" t="s">
        <v>49</v>
      </c>
      <c r="C50" s="23"/>
      <c r="D50" s="22" t="s">
        <v>50</v>
      </c>
      <c r="E50" s="22" t="s">
        <v>68</v>
      </c>
      <c r="F50" s="24"/>
      <c r="G50" s="24" t="s">
        <v>52</v>
      </c>
      <c r="H50" s="24" t="s">
        <v>53</v>
      </c>
    </row>
    <row r="51" spans="2:8" s="7" customFormat="1" ht="16" x14ac:dyDescent="0.2">
      <c r="B51" s="12" t="s">
        <v>69</v>
      </c>
      <c r="C51" s="12"/>
      <c r="D51" s="31">
        <v>0.2</v>
      </c>
      <c r="E51" s="15">
        <f>D51*E22</f>
        <v>1285000</v>
      </c>
      <c r="F51" s="29"/>
      <c r="G51" s="34">
        <v>0.5</v>
      </c>
      <c r="H51" s="36">
        <f>G51*E51</f>
        <v>642500</v>
      </c>
    </row>
    <row r="52" spans="2:8" s="7" customFormat="1" ht="16" x14ac:dyDescent="0.2">
      <c r="B52" s="12" t="s">
        <v>77</v>
      </c>
      <c r="C52" s="12"/>
      <c r="D52" s="31">
        <v>0.7</v>
      </c>
      <c r="E52" s="15">
        <f>D52*E22</f>
        <v>4497500</v>
      </c>
      <c r="F52" s="29"/>
      <c r="G52" s="34">
        <v>0.5</v>
      </c>
      <c r="H52" s="36">
        <f>G52*E52</f>
        <v>2248750</v>
      </c>
    </row>
    <row r="53" spans="2:8" s="7" customFormat="1" ht="16" x14ac:dyDescent="0.2">
      <c r="B53" s="12" t="s">
        <v>70</v>
      </c>
      <c r="C53" s="12"/>
      <c r="D53" s="32">
        <f>100%-D51-D52</f>
        <v>0.10000000000000009</v>
      </c>
      <c r="E53" s="15">
        <f>D53*E22</f>
        <v>642500.00000000058</v>
      </c>
      <c r="F53" s="29"/>
      <c r="G53" s="34">
        <f>G20</f>
        <v>1.58</v>
      </c>
      <c r="H53" s="36">
        <f>G53*E53</f>
        <v>1015150.0000000009</v>
      </c>
    </row>
    <row r="54" spans="2:8" s="7" customFormat="1" x14ac:dyDescent="0.2">
      <c r="B54" s="78" t="s">
        <v>60</v>
      </c>
      <c r="C54" s="78"/>
      <c r="D54" s="78"/>
      <c r="E54" s="78"/>
      <c r="F54" s="78"/>
      <c r="G54" s="78"/>
      <c r="H54" s="40">
        <f>SUM(H51:H53)</f>
        <v>3906400.0000000009</v>
      </c>
    </row>
    <row r="55" spans="2:8" s="7" customFormat="1" x14ac:dyDescent="0.2">
      <c r="F55" s="18" t="s">
        <v>62</v>
      </c>
      <c r="G55" s="41">
        <f>(G51*E51+G52*E52+G53*E53)/SUM(E51:E53)</f>
        <v>0.6080000000000001</v>
      </c>
    </row>
    <row r="56" spans="2:8" s="7" customFormat="1" x14ac:dyDescent="0.2">
      <c r="B56" s="25" t="s">
        <v>71</v>
      </c>
      <c r="C56" s="44">
        <f>H21-H54</f>
        <v>6338724.9999999991</v>
      </c>
      <c r="D56" s="43">
        <f>C56/H21</f>
        <v>0.61870645794951251</v>
      </c>
    </row>
    <row r="57" spans="2:8" s="7" customFormat="1" x14ac:dyDescent="0.2"/>
    <row r="58" spans="2:8" s="7" customFormat="1" x14ac:dyDescent="0.2"/>
    <row r="59" spans="2:8" s="7" customFormat="1" x14ac:dyDescent="0.2"/>
    <row r="60" spans="2:8" s="7" customFormat="1" x14ac:dyDescent="0.2"/>
    <row r="61" spans="2:8" s="7" customFormat="1" x14ac:dyDescent="0.2"/>
    <row r="62" spans="2:8" s="7" customFormat="1" x14ac:dyDescent="0.2"/>
    <row r="63" spans="2:8" s="7" customFormat="1" x14ac:dyDescent="0.2"/>
    <row r="64" spans="2:8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</sheetData>
  <sheetProtection algorithmName="SHA-512" hashValue="YmFTy8s1MyvXgrXb3W2MkYfh49IZ+E53mrJM3Uw01AnCHxQVk0kKDDKPZzPgZUruohE5TUZAdiTYrvM15ynmJg==" saltValue="MiTEGB1u/CBAVLY5LI39nA==" spinCount="100000" sheet="1" objects="1" scenarios="1"/>
  <mergeCells count="8">
    <mergeCell ref="B48:H48"/>
    <mergeCell ref="B54:G54"/>
    <mergeCell ref="B21:G21"/>
    <mergeCell ref="B22:D22"/>
    <mergeCell ref="B26:H26"/>
    <mergeCell ref="B31:G31"/>
    <mergeCell ref="B37:H37"/>
    <mergeCell ref="B42:G42"/>
  </mergeCells>
  <pageMargins left="0.25" right="0.25" top="0.75" bottom="0.75" header="0.3" footer="0.3"/>
  <pageSetup paperSize="9" scale="1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Price</vt:lpstr>
      <vt:lpstr>Расчет Тарифа</vt:lpstr>
      <vt:lpstr>OMNI</vt:lpstr>
      <vt:lpstr>Price!Область_печати</vt:lpstr>
    </vt:vector>
  </TitlesOfParts>
  <Company>MESSAGE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Microsoft Office User</cp:lastModifiedBy>
  <dcterms:created xsi:type="dcterms:W3CDTF">2019-09-25T14:51:18Z</dcterms:created>
  <dcterms:modified xsi:type="dcterms:W3CDTF">2022-03-01T08:59:01Z</dcterms:modified>
</cp:coreProperties>
</file>